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activeTab="0"/>
  </bookViews>
  <sheets>
    <sheet name="вед 2021-2023" sheetId="1" r:id="rId1"/>
  </sheets>
  <definedNames>
    <definedName name="_xlnm._FilterDatabase" localSheetId="0" hidden="1">'вед 2021-2023'!$A$11:$Z$220</definedName>
    <definedName name="_xlnm.Print_Titles" localSheetId="0">'вед 2021-2023'!$9:$11</definedName>
    <definedName name="CRITERIA" localSheetId="0">'вед 2021-2023'!#REF!</definedName>
    <definedName name="_xlnm.Print_Area" localSheetId="0">'вед 2021-2023'!$A$2:$Z$222</definedName>
  </definedNames>
  <calcPr fullCalcOnLoad="1"/>
</workbook>
</file>

<file path=xl/sharedStrings.xml><?xml version="1.0" encoding="utf-8"?>
<sst xmlns="http://schemas.openxmlformats.org/spreadsheetml/2006/main" count="476" uniqueCount="277">
  <si>
    <t>90 0 00 00070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</si>
  <si>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</si>
  <si>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</si>
  <si>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</si>
  <si>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03 0 00 00000</t>
  </si>
  <si>
    <t>03 1 00 00000</t>
  </si>
  <si>
    <t>Основное мероприятие "Управление и распоряжение муниципальным имуществом"</t>
  </si>
  <si>
    <t>Основное мероприятие "Информационное обеспечение"</t>
  </si>
  <si>
    <t>04 0 00 00000</t>
  </si>
  <si>
    <t>04 1 00 00000</t>
  </si>
  <si>
    <t>04 2 00 00000</t>
  </si>
  <si>
    <t>04 2 02 00000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</si>
  <si>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</si>
  <si>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</si>
  <si>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</si>
  <si>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</si>
  <si>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01 2 00 00000</t>
  </si>
  <si>
    <t>11 0 00 00000</t>
  </si>
  <si>
    <t>11 1 00 00000</t>
  </si>
  <si>
    <t>Основное мероприятие "Реализация мер в области обеспечения безопасности"</t>
  </si>
  <si>
    <t>Подпрограмма "Власть и общество"</t>
  </si>
  <si>
    <t>Подпрограмма "Дошкольное образование"</t>
  </si>
  <si>
    <t>Комитет по физической культуре и спорту администрации города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</si>
  <si>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</si>
  <si>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</si>
  <si>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</si>
  <si>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</si>
  <si>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</si>
  <si>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</si>
  <si>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</si>
  <si>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</si>
  <si>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</si>
  <si>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</si>
  <si>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</si>
  <si>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</si>
  <si>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</si>
  <si>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</si>
  <si>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</si>
  <si>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1003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</si>
  <si>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</si>
  <si>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</si>
  <si>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</si>
  <si>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Резервные фонды органов муниципального образования</t>
  </si>
  <si>
    <t>0314</t>
  </si>
  <si>
    <t>0111</t>
  </si>
  <si>
    <t>Физическая культура и спорт</t>
  </si>
  <si>
    <t>0113</t>
  </si>
  <si>
    <t>1100</t>
  </si>
  <si>
    <t>Ведомство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</si>
  <si>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</si>
  <si>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</si>
  <si>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</si>
  <si>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</si>
  <si>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</si>
  <si>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</si>
  <si>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</si>
  <si>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</si>
  <si>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Березниковская городская Дума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</si>
  <si>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</si>
  <si>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</si>
  <si>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</si>
  <si>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</si>
  <si>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</si>
  <si>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</si>
  <si>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</si>
  <si>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</si>
  <si>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</si>
  <si>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</si>
  <si>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</si>
  <si>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</si>
  <si>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</si>
  <si>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</si>
  <si>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</si>
  <si>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</si>
  <si>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</si>
  <si>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</si>
  <si>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</si>
  <si>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</si>
  <si>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</si>
  <si>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</si>
  <si>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</si>
  <si>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0800</t>
  </si>
  <si>
    <t>0801</t>
  </si>
  <si>
    <t xml:space="preserve">Культура </t>
  </si>
  <si>
    <t>Культура, кинематография</t>
  </si>
  <si>
    <t>Раздел, подраздел</t>
  </si>
  <si>
    <t xml:space="preserve">Мероприятия, обеспечивающие функционирование и развитие учреждений </t>
  </si>
  <si>
    <t xml:space="preserve">к решению Березниковской городской Думы </t>
  </si>
  <si>
    <t>1</t>
  </si>
  <si>
    <t>2</t>
  </si>
  <si>
    <t>3</t>
  </si>
  <si>
    <t>4</t>
  </si>
  <si>
    <t>01 1 01 16010</t>
  </si>
  <si>
    <t>03 1 05 44060</t>
  </si>
  <si>
    <t>08 1 01 28010</t>
  </si>
  <si>
    <t>08 1 01 28030</t>
  </si>
  <si>
    <t>08 2 01 19310</t>
  </si>
  <si>
    <t>04 2 02 24000</t>
  </si>
  <si>
    <t>10 1 04 00200</t>
  </si>
  <si>
    <t>10 3 01 00020</t>
  </si>
  <si>
    <t>12 1 01 00080</t>
  </si>
  <si>
    <t>12 1 01 00100</t>
  </si>
  <si>
    <t>12 4 01 00200</t>
  </si>
  <si>
    <t>12 5 01 00020</t>
  </si>
  <si>
    <t>90 0 00 00020</t>
  </si>
  <si>
    <t>Закупка товаров, работ и услуг для обеспечения государственных (муниципальных) нужд</t>
  </si>
  <si>
    <t>08 3 03 00000</t>
  </si>
  <si>
    <t>08 3 03 44140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</si>
  <si>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</si>
  <si>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0502</t>
  </si>
  <si>
    <t>Коммунальное хозяйство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</si>
  <si>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</si>
  <si>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</si>
  <si>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12 3 01 00310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</si>
  <si>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</si>
  <si>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</si>
  <si>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</si>
  <si>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</si>
  <si>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</si>
  <si>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</si>
  <si>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</si>
  <si>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</si>
  <si>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10 1 01 00000</t>
  </si>
  <si>
    <t>10 1 04 00000</t>
  </si>
  <si>
    <t>10 2 00 00000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</si>
  <si>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</si>
  <si>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</si>
  <si>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</si>
  <si>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</si>
  <si>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</si>
  <si>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</si>
  <si>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</si>
  <si>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</si>
  <si>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</si>
  <si>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</si>
  <si>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</si>
  <si>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</si>
  <si>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</si>
  <si>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08 2 00 00000</t>
  </si>
  <si>
    <t>08 2 01 00000</t>
  </si>
  <si>
    <t>Основное мероприятие "Организация дорожной деятельности"</t>
  </si>
  <si>
    <t>08 3 00 00000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</si>
  <si>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</si>
  <si>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</si>
  <si>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</si>
  <si>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</si>
  <si>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</si>
  <si>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</si>
  <si>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</si>
  <si>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</si>
  <si>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</si>
  <si>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"Жилище и 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</si>
  <si>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</si>
  <si>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</si>
  <si>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</si>
  <si>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</si>
  <si>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</si>
  <si>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</si>
  <si>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11 1 02 00000</t>
  </si>
  <si>
    <t>01 2 06 00000</t>
  </si>
  <si>
    <t>0503</t>
  </si>
  <si>
    <t>Благоустройство</t>
  </si>
  <si>
    <t>Подпрограмма "Благоустройство городских территорий"</t>
  </si>
  <si>
    <t>Подпрограмма "Создание благоприятной экологической обстановки"</t>
  </si>
  <si>
    <t>0505</t>
  </si>
  <si>
    <t>Другие вопросы в области жилищно-коммунального хозяйства</t>
  </si>
  <si>
    <t>Подпрограмма "Жилище"</t>
  </si>
  <si>
    <t>04 1 04 00000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</si>
  <si>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</si>
  <si>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</si>
  <si>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3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</si>
  <si>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</si>
  <si>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12 0 00 00000</t>
  </si>
  <si>
    <t>12 1 00 00000</t>
  </si>
  <si>
    <t>12 1 01 00000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</si>
  <si>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</si>
  <si>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</si>
  <si>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</si>
  <si>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</si>
  <si>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</si>
  <si>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</si>
  <si>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</si>
  <si>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12 5 00 00000</t>
  </si>
  <si>
    <t>12 5 01 00000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</si>
  <si>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</si>
  <si>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</si>
  <si>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Управление образования администрации города Березники</t>
  </si>
  <si>
    <t>тыс. руб.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</si>
  <si>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</si>
  <si>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изменения</t>
  </si>
  <si>
    <t>с учетом изменений</t>
  </si>
  <si>
    <t>11 3 02 00000</t>
  </si>
  <si>
    <t>Основное мероприятие "Материальное стимулирование деятельности народных дружинников"</t>
  </si>
  <si>
    <t>01 2 06 44190</t>
  </si>
  <si>
    <t>Общеобразовательная школа на 1224 места</t>
  </si>
  <si>
    <t>01 2 06 44400</t>
  </si>
  <si>
    <t>Строительство межшкольного стадиона на территории МАОУ СОШ № 14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</si>
  <si>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</si>
  <si>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</si>
  <si>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</si>
  <si>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</si>
  <si>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11 3 02 SП020</t>
  </si>
  <si>
    <t>14 0 00 00000</t>
  </si>
  <si>
    <t>Муниципальная программа "Привлечение педагогических кадров"</t>
  </si>
  <si>
    <t>14 1 00 00000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</si>
  <si>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</si>
  <si>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10 2 03 00000</t>
  </si>
  <si>
    <t>Основное мероприятие "Обеспечение деятельности казенных учреждений в сфере информационных технологий"</t>
  </si>
  <si>
    <t>10 2 03 00200</t>
  </si>
  <si>
    <t>07 4 00 00000</t>
  </si>
  <si>
    <t>07 4 01 00000</t>
  </si>
  <si>
    <t>07 4 02 00000</t>
  </si>
  <si>
    <t>07 4 02 44670</t>
  </si>
  <si>
    <t>07 6 00 00000</t>
  </si>
  <si>
    <t>07 6 01 00000</t>
  </si>
  <si>
    <t>11 1 02 00430</t>
  </si>
  <si>
    <t>Мероприятия по защите населения и территорий от чрезвычайных ситуаций</t>
  </si>
  <si>
    <t>Муниципальная программа "Управление имуществом и земельными ресурсами"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</si>
  <si>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</si>
  <si>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</si>
  <si>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Основное мероприятия "Организация теплоснабжения в границах муниципального образования"</t>
  </si>
  <si>
    <t>Основное мероприятие "Организация водоснабжения населения в границах муниципального образования"</t>
  </si>
  <si>
    <t>Средства массовой информации</t>
  </si>
  <si>
    <t>Периодическая печать и издательства</t>
  </si>
  <si>
    <t>10 1 01 19210</t>
  </si>
  <si>
    <t>Подпрограмма "Сохранение и развитие культурного потенциала муниципального образования"</t>
  </si>
  <si>
    <t>Разбор (снос) зданий ветхих и аварийных домов</t>
  </si>
  <si>
    <t>04 1 04 44570</t>
  </si>
  <si>
    <t>Строительство физкультурно-оздоровительного комплекса в правобережном районе г.Березники</t>
  </si>
  <si>
    <t>Субсидии некоммерческим организациям на осуществление деятельности по участию в сфере охраны общественного порядка</t>
  </si>
  <si>
    <t>Строительство и реконструкция централизованных сетей водоснабжения и водоотведения</t>
  </si>
  <si>
    <t>от _________________________ № _____</t>
  </si>
  <si>
    <t>Подпрограмма "Централизованное водоснабжение районов муниципального образования"</t>
  </si>
  <si>
    <t>Подпрограмма "Модернизация объектов теплоснабжения муниципального образования"</t>
  </si>
  <si>
    <t>07 6 01 26600</t>
  </si>
  <si>
    <t>Приведение в нормативное состояние объектов теплоснабжения</t>
  </si>
  <si>
    <t>90 0 00 00160</t>
  </si>
  <si>
    <t>Софинансирование проектов инициативного бюджетирования</t>
  </si>
  <si>
    <t>08 1 01 SР080</t>
  </si>
  <si>
    <t>12 1 01 00110</t>
  </si>
  <si>
    <t>Приобретение имущества в муниципальную собственность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</si>
  <si>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</si>
  <si>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</si>
  <si>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12 3 01 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</si>
  <si>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</si>
  <si>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на 2021 год и плановый период 2022-2023 годов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</si>
  <si>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</si>
  <si>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</si>
  <si>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</si>
  <si>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</si>
  <si>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"Организация деятельности по реализации функций и оказанию муниципальных услуг (работ)"</t>
  </si>
  <si>
    <t>2021 год</t>
  </si>
  <si>
    <t>2022 год</t>
  </si>
  <si>
    <t>2023 год</t>
  </si>
  <si>
    <t>март</t>
  </si>
  <si>
    <t>Изменения по отдельным строкам ведомственной структуры расходов бюджета муниципального образования "Город Березники"
(по главным распорядителям бюджетных средств, разделам, подразделам, целевым статьям (муниципальным программам  и непрограммным направлениям деятельности),  группам видов расходов классификации расходов бюджетов)</t>
  </si>
  <si>
    <t>04 2 02 SФ250</t>
  </si>
  <si>
    <t>Развитие лыжно-биатлонных комплексов в муниципальных образованиях Пермского края</t>
  </si>
  <si>
    <t>май</t>
  </si>
  <si>
    <t>07 4 01 26700</t>
  </si>
  <si>
    <t>Разработка (актуализация) схем водоснабжения и водоотведения</t>
  </si>
  <si>
    <t>июль</t>
  </si>
  <si>
    <t>10 1 01 00210</t>
  </si>
  <si>
    <t>Субсидии некоммерческим организациям, не являющимся государственными (муниципальными) учреждениями</t>
  </si>
  <si>
    <t>Возмещение части затрат, связанных с выполнением ремонта общего имущества в многоквартирных домах</t>
  </si>
  <si>
    <t>07 1 01 80080</t>
  </si>
  <si>
    <t>08 3 02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</si>
  <si>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</si>
  <si>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08 3 02 SЖ820</t>
  </si>
  <si>
    <t>Снижение негативного воздействия на почвы, восстановление нарушенных земель, ликвидация несанкционированных свалок в пределах населенных пунктов</t>
  </si>
  <si>
    <t>90 0 00 00600</t>
  </si>
  <si>
    <t>Возврат средств в бюджеты бюджетной системы Российской Федерации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</si>
  <si>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</si>
  <si>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</si>
  <si>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</si>
  <si>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</si>
  <si>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от 28.07.2021 № 126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</si>
</sst>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_ ;\-0.00\ 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58" applyNumberFormat="1" applyFont="1" applyFill="1" applyBorder="1" applyAlignment="1">
      <alignment horizontal="center" vertical="top"/>
      <protection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49" fontId="15" fillId="0" borderId="11" xfId="57" applyNumberFormat="1" applyFont="1" applyFill="1" applyBorder="1" applyAlignment="1">
      <alignment horizontal="center" vertical="center" wrapText="1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49" fontId="17" fillId="0" borderId="0" xfId="57" applyNumberFormat="1" applyFont="1" applyFill="1" applyAlignment="1">
      <alignment horizontal="center"/>
      <protection/>
    </xf>
    <xf numFmtId="49" fontId="18" fillId="0" borderId="0" xfId="57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179" fontId="8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7" borderId="0" xfId="0" applyFill="1" applyAlignment="1">
      <alignment/>
    </xf>
    <xf numFmtId="179" fontId="4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3" fontId="15" fillId="7" borderId="10" xfId="57" applyNumberFormat="1" applyFont="1" applyFill="1" applyBorder="1" applyAlignment="1">
      <alignment horizontal="center" vertical="center" wrapText="1"/>
      <protection/>
    </xf>
    <xf numFmtId="179" fontId="4" fillId="7" borderId="10" xfId="57" applyNumberFormat="1" applyFont="1" applyFill="1" applyBorder="1" applyAlignment="1">
      <alignment horizontal="center" vertical="top"/>
      <protection/>
    </xf>
    <xf numFmtId="179" fontId="8" fillId="7" borderId="10" xfId="0" applyNumberFormat="1" applyFont="1" applyFill="1" applyBorder="1" applyAlignment="1">
      <alignment horizontal="center" vertical="top"/>
    </xf>
    <xf numFmtId="179" fontId="8" fillId="7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/>
    </xf>
    <xf numFmtId="3" fontId="15" fillId="0" borderId="10" xfId="57" applyNumberFormat="1" applyFont="1" applyFill="1" applyBorder="1" applyAlignment="1">
      <alignment horizontal="center" vertical="center" wrapText="1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179" fontId="5" fillId="0" borderId="10" xfId="57" applyNumberFormat="1" applyFont="1" applyFill="1" applyBorder="1" applyAlignment="1">
      <alignment horizontal="center" vertical="top"/>
      <protection/>
    </xf>
    <xf numFmtId="3" fontId="14" fillId="0" borderId="10" xfId="60" applyNumberFormat="1" applyFont="1" applyFill="1" applyBorder="1" applyAlignment="1">
      <alignment horizontal="left" vertical="top" wrapText="1"/>
      <protection/>
    </xf>
    <xf numFmtId="179" fontId="14" fillId="0" borderId="10" xfId="57" applyNumberFormat="1" applyFont="1" applyFill="1" applyBorder="1" applyAlignment="1">
      <alignment horizontal="center" vertical="top"/>
      <protection/>
    </xf>
    <xf numFmtId="177" fontId="14" fillId="0" borderId="10" xfId="57" applyNumberFormat="1" applyFont="1" applyFill="1" applyBorder="1" applyAlignment="1">
      <alignment horizontal="center" vertical="top"/>
      <protection/>
    </xf>
    <xf numFmtId="49" fontId="5" fillId="0" borderId="13" xfId="57" applyNumberFormat="1" applyFont="1" applyFill="1" applyBorder="1" applyAlignment="1">
      <alignment horizontal="center" vertical="top"/>
      <protection/>
    </xf>
    <xf numFmtId="49" fontId="4" fillId="0" borderId="13" xfId="60" applyNumberFormat="1" applyFont="1" applyFill="1" applyBorder="1" applyAlignment="1">
      <alignment horizontal="center" vertical="top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49" fontId="4" fillId="0" borderId="13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179" fontId="4" fillId="0" borderId="13" xfId="57" applyNumberFormat="1" applyFont="1" applyFill="1" applyBorder="1" applyAlignment="1">
      <alignment horizontal="center" vertical="top"/>
      <protection/>
    </xf>
    <xf numFmtId="177" fontId="4" fillId="0" borderId="13" xfId="57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177" fontId="5" fillId="7" borderId="10" xfId="57" applyNumberFormat="1" applyFont="1" applyFill="1" applyBorder="1" applyAlignment="1">
      <alignment horizontal="center" vertical="top"/>
      <protection/>
    </xf>
    <xf numFmtId="177" fontId="4" fillId="7" borderId="10" xfId="57" applyNumberFormat="1" applyFont="1" applyFill="1" applyBorder="1" applyAlignment="1">
      <alignment horizontal="center" vertical="top"/>
      <protection/>
    </xf>
    <xf numFmtId="179" fontId="4" fillId="7" borderId="10" xfId="57" applyNumberFormat="1" applyFont="1" applyFill="1" applyBorder="1" applyAlignment="1">
      <alignment horizontal="center" vertical="top"/>
      <protection/>
    </xf>
    <xf numFmtId="179" fontId="5" fillId="7" borderId="10" xfId="57" applyNumberFormat="1" applyFont="1" applyFill="1" applyBorder="1" applyAlignment="1">
      <alignment horizontal="center" vertical="top"/>
      <protection/>
    </xf>
    <xf numFmtId="179" fontId="5" fillId="7" borderId="10" xfId="57" applyNumberFormat="1" applyFont="1" applyFill="1" applyBorder="1" applyAlignment="1">
      <alignment horizontal="center" vertical="top"/>
      <protection/>
    </xf>
    <xf numFmtId="179" fontId="8" fillId="7" borderId="10" xfId="57" applyNumberFormat="1" applyFont="1" applyFill="1" applyBorder="1" applyAlignment="1">
      <alignment horizontal="center" vertical="top"/>
      <protection/>
    </xf>
    <xf numFmtId="179" fontId="4" fillId="7" borderId="13" xfId="57" applyNumberFormat="1" applyFont="1" applyFill="1" applyBorder="1" applyAlignment="1">
      <alignment horizontal="center" vertical="top"/>
      <protection/>
    </xf>
    <xf numFmtId="179" fontId="14" fillId="7" borderId="10" xfId="57" applyNumberFormat="1" applyFont="1" applyFill="1" applyBorder="1" applyAlignment="1">
      <alignment horizontal="center" vertical="top"/>
      <protection/>
    </xf>
    <xf numFmtId="179" fontId="5" fillId="0" borderId="14" xfId="57" applyNumberFormat="1" applyFont="1" applyFill="1" applyBorder="1" applyAlignment="1">
      <alignment horizontal="center" vertical="center" wrapText="1"/>
      <protection/>
    </xf>
    <xf numFmtId="179" fontId="5" fillId="0" borderId="10" xfId="57" applyNumberFormat="1" applyFont="1" applyFill="1" applyBorder="1" applyAlignment="1">
      <alignment horizontal="center" vertical="center" wrapText="1"/>
      <protection/>
    </xf>
    <xf numFmtId="179" fontId="5" fillId="7" borderId="14" xfId="57" applyNumberFormat="1" applyFont="1" applyFill="1" applyBorder="1" applyAlignment="1">
      <alignment horizontal="center" vertical="center" wrapText="1"/>
      <protection/>
    </xf>
    <xf numFmtId="179" fontId="5" fillId="7" borderId="10" xfId="57" applyNumberFormat="1" applyFont="1" applyFill="1" applyBorder="1" applyAlignment="1">
      <alignment horizontal="center" vertical="center" wrapText="1"/>
      <protection/>
    </xf>
    <xf numFmtId="177" fontId="4" fillId="7" borderId="13" xfId="57" applyNumberFormat="1" applyFont="1" applyFill="1" applyBorder="1" applyAlignment="1">
      <alignment horizontal="center" vertical="top"/>
      <protection/>
    </xf>
    <xf numFmtId="177" fontId="14" fillId="7" borderId="10" xfId="57" applyNumberFormat="1" applyFont="1" applyFill="1" applyBorder="1" applyAlignment="1">
      <alignment horizontal="center" vertical="top"/>
      <protection/>
    </xf>
    <xf numFmtId="177" fontId="5" fillId="7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10" fillId="0" borderId="10" xfId="57" applyNumberFormat="1" applyFont="1" applyFill="1" applyBorder="1" applyAlignment="1">
      <alignment horizontal="center" vertical="top"/>
      <protection/>
    </xf>
    <xf numFmtId="49" fontId="10" fillId="0" borderId="10" xfId="60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vertical="top" wrapText="1"/>
      <protection/>
    </xf>
    <xf numFmtId="183" fontId="5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0" xfId="60" applyNumberFormat="1" applyFont="1" applyFill="1" applyBorder="1" applyAlignment="1">
      <alignment vertical="top" wrapText="1"/>
      <protection/>
    </xf>
    <xf numFmtId="0" fontId="4" fillId="0" borderId="15" xfId="57" applyFont="1" applyFill="1" applyBorder="1" applyAlignment="1">
      <alignment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10" fillId="0" borderId="11" xfId="60" applyNumberFormat="1" applyFont="1" applyFill="1" applyBorder="1" applyAlignment="1">
      <alignment horizontal="center" vertical="top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center" vertical="top"/>
    </xf>
    <xf numFmtId="3" fontId="8" fillId="0" borderId="10" xfId="59" applyNumberFormat="1" applyFont="1" applyFill="1" applyBorder="1" applyAlignment="1">
      <alignment horizontal="left" vertical="top" wrapText="1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0" fontId="4" fillId="0" borderId="15" xfId="57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8" fillId="0" borderId="10" xfId="60" applyNumberFormat="1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vertical="top"/>
    </xf>
    <xf numFmtId="49" fontId="8" fillId="0" borderId="11" xfId="60" applyNumberFormat="1" applyFont="1" applyFill="1" applyBorder="1" applyAlignment="1">
      <alignment horizontal="center" vertical="top"/>
      <protection/>
    </xf>
    <xf numFmtId="3" fontId="8" fillId="0" borderId="12" xfId="59" applyNumberFormat="1" applyFont="1" applyFill="1" applyBorder="1" applyAlignment="1">
      <alignment horizontal="left"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176" fontId="4" fillId="0" borderId="15" xfId="60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0" xfId="60" applyNumberFormat="1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8" fillId="0" borderId="10" xfId="60" applyNumberFormat="1" applyFont="1" applyFill="1" applyBorder="1" applyAlignment="1">
      <alignment horizontal="left" vertical="top" wrapText="1"/>
      <protection/>
    </xf>
    <xf numFmtId="3" fontId="8" fillId="0" borderId="10" xfId="58" applyNumberFormat="1" applyFont="1" applyFill="1" applyBorder="1" applyAlignment="1">
      <alignment horizontal="left"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5" xfId="59" applyNumberFormat="1" applyFont="1" applyFill="1" applyBorder="1" applyAlignment="1">
      <alignment horizontal="left" vertical="top" wrapText="1"/>
      <protection/>
    </xf>
    <xf numFmtId="49" fontId="11" fillId="0" borderId="11" xfId="60" applyNumberFormat="1" applyFont="1" applyFill="1" applyBorder="1" applyAlignment="1">
      <alignment horizontal="center" vertical="top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left" vertical="top" wrapText="1"/>
      <protection/>
    </xf>
    <xf numFmtId="3" fontId="4" fillId="0" borderId="15" xfId="59" applyNumberFormat="1" applyFont="1" applyFill="1" applyBorder="1" applyAlignment="1">
      <alignment vertical="top" wrapText="1"/>
      <protection/>
    </xf>
    <xf numFmtId="176" fontId="4" fillId="0" borderId="15" xfId="60" applyNumberFormat="1" applyFont="1" applyFill="1" applyBorder="1" applyAlignment="1">
      <alignment vertical="top" wrapText="1"/>
      <protection/>
    </xf>
    <xf numFmtId="179" fontId="4" fillId="34" borderId="10" xfId="57" applyNumberFormat="1" applyFont="1" applyFill="1" applyBorder="1" applyAlignment="1">
      <alignment horizontal="center" vertical="top"/>
      <protection/>
    </xf>
    <xf numFmtId="177" fontId="5" fillId="34" borderId="10" xfId="57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left" vertical="top"/>
      <protection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49" fontId="5" fillId="7" borderId="17" xfId="57" applyNumberFormat="1" applyFont="1" applyFill="1" applyBorder="1" applyAlignment="1">
      <alignment horizontal="center" vertical="center" wrapText="1"/>
      <protection/>
    </xf>
    <xf numFmtId="49" fontId="5" fillId="7" borderId="11" xfId="57" applyNumberFormat="1" applyFont="1" applyFill="1" applyBorder="1" applyAlignment="1">
      <alignment horizontal="center" vertical="center" wrapText="1"/>
      <protection/>
    </xf>
    <xf numFmtId="0" fontId="13" fillId="7" borderId="15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2" fontId="16" fillId="0" borderId="0" xfId="57" applyNumberFormat="1" applyFont="1" applyFill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0" xfId="56"/>
    <cellStyle name="Обычный_Бюджет2001_1 2" xfId="57"/>
    <cellStyle name="Обычный_РАСХ98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292"/>
  <sheetViews>
    <sheetView tabSelected="1" view="pageBreakPreview" zoomScale="110" zoomScaleNormal="110" zoomScaleSheetLayoutView="110" zoomScalePageLayoutView="0" workbookViewId="0" topLeftCell="A1">
      <pane xSplit="5" ySplit="11" topLeftCell="U111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Z4" sqref="Z4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14" width="14.25390625" style="26" hidden="1" customWidth="1"/>
    <col min="15" max="20" width="14.25390625" style="1" hidden="1" customWidth="1"/>
    <col min="21" max="21" width="13.00390625" style="0" customWidth="1"/>
    <col min="22" max="22" width="12.625" style="0" bestFit="1" customWidth="1"/>
    <col min="23" max="23" width="12.75390625" style="0" customWidth="1"/>
    <col min="24" max="24" width="12.625" style="0" bestFit="1" customWidth="1"/>
    <col min="25" max="25" width="13.625" style="0" customWidth="1"/>
    <col min="26" max="26" width="12.625" style="0" bestFit="1" customWidth="1"/>
  </cols>
  <sheetData>
    <row r="1" spans="14:26" ht="12.75">
      <c r="N1" s="26" t="s">
        <v>254</v>
      </c>
      <c r="T1" s="1" t="s">
        <v>258</v>
      </c>
      <c r="Z1" t="s">
        <v>261</v>
      </c>
    </row>
    <row r="2" spans="1:26" s="1" customFormat="1" ht="12.75">
      <c r="A2" s="8"/>
      <c r="B2" s="8"/>
      <c r="C2" s="8"/>
      <c r="D2" s="8"/>
      <c r="E2" s="9"/>
      <c r="F2" s="27"/>
      <c r="G2" s="27"/>
      <c r="H2" s="27" t="s">
        <v>170</v>
      </c>
      <c r="I2" s="27"/>
      <c r="J2" s="33"/>
      <c r="K2" s="27"/>
      <c r="L2" s="33"/>
      <c r="M2" s="27"/>
      <c r="N2" s="33" t="s">
        <v>170</v>
      </c>
      <c r="O2" s="27"/>
      <c r="P2" s="33"/>
      <c r="Q2" s="27"/>
      <c r="R2" s="33"/>
      <c r="S2" s="27"/>
      <c r="T2" s="33" t="s">
        <v>170</v>
      </c>
      <c r="Z2" s="22" t="s">
        <v>170</v>
      </c>
    </row>
    <row r="3" spans="1:26" s="1" customFormat="1" ht="15">
      <c r="A3" s="15"/>
      <c r="B3" s="15"/>
      <c r="C3" s="14"/>
      <c r="E3" s="6"/>
      <c r="F3" s="28"/>
      <c r="G3" s="28"/>
      <c r="H3" s="28" t="s">
        <v>87</v>
      </c>
      <c r="I3" s="28"/>
      <c r="J3" s="28"/>
      <c r="K3" s="28"/>
      <c r="L3" s="28"/>
      <c r="M3" s="28"/>
      <c r="N3" s="28" t="s">
        <v>87</v>
      </c>
      <c r="O3" s="28"/>
      <c r="P3" s="28"/>
      <c r="Q3" s="28"/>
      <c r="R3" s="28"/>
      <c r="S3" s="28"/>
      <c r="T3" s="28" t="s">
        <v>87</v>
      </c>
      <c r="Z3" s="14" t="s">
        <v>87</v>
      </c>
    </row>
    <row r="4" spans="1:26" s="1" customFormat="1" ht="15">
      <c r="A4" s="15"/>
      <c r="B4" s="15"/>
      <c r="C4" s="14"/>
      <c r="E4" s="6"/>
      <c r="F4" s="28"/>
      <c r="G4" s="28"/>
      <c r="H4" s="28" t="s">
        <v>231</v>
      </c>
      <c r="I4" s="28"/>
      <c r="J4" s="28"/>
      <c r="K4" s="28"/>
      <c r="L4" s="28"/>
      <c r="M4" s="28"/>
      <c r="N4" s="28" t="s">
        <v>231</v>
      </c>
      <c r="O4" s="28"/>
      <c r="P4" s="28"/>
      <c r="Q4" s="28"/>
      <c r="R4" s="28"/>
      <c r="S4" s="28"/>
      <c r="T4" s="28" t="s">
        <v>231</v>
      </c>
      <c r="Z4" s="14" t="s">
        <v>276</v>
      </c>
    </row>
    <row r="5" spans="1:26" s="1" customFormat="1" ht="15">
      <c r="A5" s="15"/>
      <c r="B5" s="15"/>
      <c r="C5" s="14"/>
      <c r="E5" s="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Z5" s="14"/>
    </row>
    <row r="6" spans="1:26" s="1" customFormat="1" ht="77.25" customHeight="1">
      <c r="A6" s="140" t="s">
        <v>255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s="1" customFormat="1" ht="16.5" customHeight="1">
      <c r="A7" s="141" t="s">
        <v>245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s="19" customFormat="1" ht="11.25" customHeight="1">
      <c r="A8" s="16"/>
      <c r="B8" s="16"/>
      <c r="C8" s="16"/>
      <c r="D8" s="17"/>
      <c r="E8" s="18"/>
      <c r="F8" s="29"/>
      <c r="G8" s="29"/>
      <c r="H8" s="29" t="s">
        <v>187</v>
      </c>
      <c r="I8" s="29"/>
      <c r="J8" s="29"/>
      <c r="K8" s="29"/>
      <c r="L8" s="29"/>
      <c r="M8" s="29"/>
      <c r="N8" s="29" t="s">
        <v>187</v>
      </c>
      <c r="O8" s="29"/>
      <c r="P8" s="29"/>
      <c r="Q8" s="29"/>
      <c r="R8" s="29"/>
      <c r="S8" s="29"/>
      <c r="T8" s="29" t="s">
        <v>187</v>
      </c>
      <c r="U8" s="23"/>
      <c r="V8" s="23"/>
      <c r="W8" s="23"/>
      <c r="X8" s="23"/>
      <c r="Y8" s="23"/>
      <c r="Z8" s="23" t="s">
        <v>187</v>
      </c>
    </row>
    <row r="9" spans="1:26" s="1" customFormat="1" ht="25.5" customHeight="1">
      <c r="A9" s="135" t="s">
        <v>48</v>
      </c>
      <c r="B9" s="135" t="s">
        <v>85</v>
      </c>
      <c r="C9" s="135" t="s">
        <v>58</v>
      </c>
      <c r="D9" s="135" t="s">
        <v>59</v>
      </c>
      <c r="E9" s="142" t="s">
        <v>60</v>
      </c>
      <c r="F9" s="136" t="s">
        <v>251</v>
      </c>
      <c r="G9" s="136" t="s">
        <v>252</v>
      </c>
      <c r="H9" s="136" t="s">
        <v>253</v>
      </c>
      <c r="I9" s="138" t="s">
        <v>251</v>
      </c>
      <c r="J9" s="139"/>
      <c r="K9" s="138" t="s">
        <v>252</v>
      </c>
      <c r="L9" s="139"/>
      <c r="M9" s="138" t="s">
        <v>253</v>
      </c>
      <c r="N9" s="139"/>
      <c r="O9" s="138" t="s">
        <v>251</v>
      </c>
      <c r="P9" s="139"/>
      <c r="Q9" s="138" t="s">
        <v>252</v>
      </c>
      <c r="R9" s="139"/>
      <c r="S9" s="138" t="s">
        <v>253</v>
      </c>
      <c r="T9" s="139"/>
      <c r="U9" s="133" t="s">
        <v>251</v>
      </c>
      <c r="V9" s="134"/>
      <c r="W9" s="133" t="s">
        <v>252</v>
      </c>
      <c r="X9" s="134"/>
      <c r="Y9" s="133" t="s">
        <v>253</v>
      </c>
      <c r="Z9" s="134"/>
    </row>
    <row r="10" spans="1:26" s="1" customFormat="1" ht="60" customHeight="1">
      <c r="A10" s="135"/>
      <c r="B10" s="135"/>
      <c r="C10" s="135"/>
      <c r="D10" s="135"/>
      <c r="E10" s="142"/>
      <c r="F10" s="137"/>
      <c r="G10" s="137"/>
      <c r="H10" s="137"/>
      <c r="I10" s="59" t="s">
        <v>189</v>
      </c>
      <c r="J10" s="60" t="s">
        <v>190</v>
      </c>
      <c r="K10" s="59" t="s">
        <v>189</v>
      </c>
      <c r="L10" s="60" t="s">
        <v>190</v>
      </c>
      <c r="M10" s="59" t="s">
        <v>189</v>
      </c>
      <c r="N10" s="60" t="s">
        <v>190</v>
      </c>
      <c r="O10" s="59" t="s">
        <v>189</v>
      </c>
      <c r="P10" s="60" t="s">
        <v>190</v>
      </c>
      <c r="Q10" s="59" t="s">
        <v>189</v>
      </c>
      <c r="R10" s="60" t="s">
        <v>190</v>
      </c>
      <c r="S10" s="59" t="s">
        <v>189</v>
      </c>
      <c r="T10" s="60" t="s">
        <v>190</v>
      </c>
      <c r="U10" s="57" t="s">
        <v>189</v>
      </c>
      <c r="V10" s="58" t="s">
        <v>190</v>
      </c>
      <c r="W10" s="57" t="s">
        <v>189</v>
      </c>
      <c r="X10" s="58" t="s">
        <v>190</v>
      </c>
      <c r="Y10" s="57" t="s">
        <v>189</v>
      </c>
      <c r="Z10" s="58" t="s">
        <v>190</v>
      </c>
    </row>
    <row r="11" spans="1:26" s="20" customFormat="1" ht="11.25">
      <c r="A11" s="11" t="s">
        <v>88</v>
      </c>
      <c r="B11" s="12" t="s">
        <v>89</v>
      </c>
      <c r="C11" s="12" t="s">
        <v>90</v>
      </c>
      <c r="D11" s="12" t="s">
        <v>91</v>
      </c>
      <c r="E11" s="13">
        <v>5</v>
      </c>
      <c r="F11" s="30">
        <v>6</v>
      </c>
      <c r="G11" s="30">
        <v>7</v>
      </c>
      <c r="H11" s="30">
        <v>8</v>
      </c>
      <c r="I11" s="30">
        <v>6</v>
      </c>
      <c r="J11" s="30">
        <v>7</v>
      </c>
      <c r="K11" s="30">
        <v>8</v>
      </c>
      <c r="L11" s="30">
        <v>9</v>
      </c>
      <c r="M11" s="30">
        <v>10</v>
      </c>
      <c r="N11" s="30">
        <v>11</v>
      </c>
      <c r="O11" s="30">
        <v>6</v>
      </c>
      <c r="P11" s="30">
        <v>7</v>
      </c>
      <c r="Q11" s="30">
        <v>8</v>
      </c>
      <c r="R11" s="30">
        <v>9</v>
      </c>
      <c r="S11" s="30">
        <v>10</v>
      </c>
      <c r="T11" s="30">
        <v>11</v>
      </c>
      <c r="U11" s="35">
        <v>6</v>
      </c>
      <c r="V11" s="35">
        <v>7</v>
      </c>
      <c r="W11" s="35">
        <v>8</v>
      </c>
      <c r="X11" s="35">
        <v>9</v>
      </c>
      <c r="Y11" s="35">
        <v>10</v>
      </c>
      <c r="Z11" s="35">
        <v>11</v>
      </c>
    </row>
    <row r="12" spans="1:26" s="1" customFormat="1" ht="30">
      <c r="A12" s="64" t="s">
        <v>49</v>
      </c>
      <c r="B12" s="65"/>
      <c r="C12" s="65"/>
      <c r="D12" s="65"/>
      <c r="E12" s="66" t="s">
        <v>186</v>
      </c>
      <c r="F12" s="52" t="e">
        <f aca="true" t="shared" si="0" ref="F12:T12">F13+F20</f>
        <v>#REF!</v>
      </c>
      <c r="G12" s="52" t="e">
        <f t="shared" si="0"/>
        <v>#REF!</v>
      </c>
      <c r="H12" s="52" t="e">
        <f t="shared" si="0"/>
        <v>#REF!</v>
      </c>
      <c r="I12" s="49" t="e">
        <f t="shared" si="0"/>
        <v>#REF!</v>
      </c>
      <c r="J12" s="49" t="e">
        <f t="shared" si="0"/>
        <v>#REF!</v>
      </c>
      <c r="K12" s="49" t="e">
        <f t="shared" si="0"/>
        <v>#REF!</v>
      </c>
      <c r="L12" s="49" t="e">
        <f t="shared" si="0"/>
        <v>#REF!</v>
      </c>
      <c r="M12" s="49" t="e">
        <f t="shared" si="0"/>
        <v>#REF!</v>
      </c>
      <c r="N12" s="49" t="e">
        <f t="shared" si="0"/>
        <v>#REF!</v>
      </c>
      <c r="O12" s="49" t="e">
        <f t="shared" si="0"/>
        <v>#REF!</v>
      </c>
      <c r="P12" s="49" t="e">
        <f t="shared" si="0"/>
        <v>#REF!</v>
      </c>
      <c r="Q12" s="49" t="e">
        <f t="shared" si="0"/>
        <v>#REF!</v>
      </c>
      <c r="R12" s="49" t="e">
        <f t="shared" si="0"/>
        <v>#REF!</v>
      </c>
      <c r="S12" s="49" t="e">
        <f t="shared" si="0"/>
        <v>#REF!</v>
      </c>
      <c r="T12" s="49" t="e">
        <f t="shared" si="0"/>
        <v>#REF!</v>
      </c>
      <c r="U12" s="83">
        <v>-1596</v>
      </c>
      <c r="V12" s="36">
        <v>2453006.4</v>
      </c>
      <c r="W12" s="83">
        <v>-1252.4</v>
      </c>
      <c r="X12" s="36">
        <v>2364849</v>
      </c>
      <c r="Y12" s="36">
        <v>0</v>
      </c>
      <c r="Z12" s="36">
        <v>2371829.3000000003</v>
      </c>
    </row>
    <row r="13" spans="1:26" s="1" customFormat="1" ht="15">
      <c r="A13" s="67"/>
      <c r="B13" s="65" t="s">
        <v>75</v>
      </c>
      <c r="C13" s="65"/>
      <c r="D13" s="68"/>
      <c r="E13" s="69" t="s">
        <v>76</v>
      </c>
      <c r="F13" s="51" t="e">
        <f>F14+#REF!+#REF!+#REF!+#REF!</f>
        <v>#REF!</v>
      </c>
      <c r="G13" s="51" t="e">
        <f>G14+#REF!+#REF!+#REF!+#REF!</f>
        <v>#REF!</v>
      </c>
      <c r="H13" s="51" t="e">
        <f>H14+#REF!+#REF!+#REF!+#REF!</f>
        <v>#REF!</v>
      </c>
      <c r="I13" s="49" t="e">
        <f>I14+#REF!+#REF!+#REF!+#REF!</f>
        <v>#REF!</v>
      </c>
      <c r="J13" s="49" t="e">
        <f>J14+#REF!+#REF!+#REF!+#REF!</f>
        <v>#REF!</v>
      </c>
      <c r="K13" s="49" t="e">
        <f>K14+#REF!+#REF!+#REF!+#REF!</f>
        <v>#REF!</v>
      </c>
      <c r="L13" s="49" t="e">
        <f>L14+#REF!+#REF!+#REF!+#REF!</f>
        <v>#REF!</v>
      </c>
      <c r="M13" s="49" t="e">
        <f>M14+#REF!+#REF!+#REF!+#REF!</f>
        <v>#REF!</v>
      </c>
      <c r="N13" s="49" t="e">
        <f>N14+#REF!+#REF!+#REF!+#REF!</f>
        <v>#REF!</v>
      </c>
      <c r="O13" s="49" t="e">
        <f>O14+#REF!+#REF!+#REF!+#REF!</f>
        <v>#REF!</v>
      </c>
      <c r="P13" s="49" t="e">
        <f>P14+#REF!+#REF!+#REF!+#REF!</f>
        <v>#REF!</v>
      </c>
      <c r="Q13" s="49" t="e">
        <f>Q14+#REF!+#REF!+#REF!+#REF!</f>
        <v>#REF!</v>
      </c>
      <c r="R13" s="49" t="e">
        <f>R14+#REF!+#REF!+#REF!+#REF!</f>
        <v>#REF!</v>
      </c>
      <c r="S13" s="49" t="e">
        <f>S14+#REF!+#REF!+#REF!+#REF!</f>
        <v>#REF!</v>
      </c>
      <c r="T13" s="49" t="e">
        <f>T14+#REF!+#REF!+#REF!+#REF!</f>
        <v>#REF!</v>
      </c>
      <c r="U13" s="83">
        <v>-2117.9</v>
      </c>
      <c r="V13" s="36">
        <v>2426990.6999999997</v>
      </c>
      <c r="W13" s="83">
        <v>-3757.3</v>
      </c>
      <c r="X13" s="36">
        <v>2336568.1</v>
      </c>
      <c r="Y13" s="83">
        <v>-3757.3</v>
      </c>
      <c r="Z13" s="36">
        <v>2342002.0000000005</v>
      </c>
    </row>
    <row r="14" spans="1:26" s="1" customFormat="1" ht="15">
      <c r="A14" s="67"/>
      <c r="B14" s="65" t="s">
        <v>77</v>
      </c>
      <c r="C14" s="65"/>
      <c r="D14" s="68"/>
      <c r="E14" s="69" t="s">
        <v>78</v>
      </c>
      <c r="F14" s="51" t="e">
        <f aca="true" t="shared" si="1" ref="F14:T14">F15</f>
        <v>#REF!</v>
      </c>
      <c r="G14" s="51" t="e">
        <f t="shared" si="1"/>
        <v>#REF!</v>
      </c>
      <c r="H14" s="51" t="e">
        <f t="shared" si="1"/>
        <v>#REF!</v>
      </c>
      <c r="I14" s="49" t="e">
        <f t="shared" si="1"/>
        <v>#REF!</v>
      </c>
      <c r="J14" s="49" t="e">
        <f t="shared" si="1"/>
        <v>#REF!</v>
      </c>
      <c r="K14" s="49" t="e">
        <f t="shared" si="1"/>
        <v>#REF!</v>
      </c>
      <c r="L14" s="49" t="e">
        <f t="shared" si="1"/>
        <v>#REF!</v>
      </c>
      <c r="M14" s="49" t="e">
        <f t="shared" si="1"/>
        <v>#REF!</v>
      </c>
      <c r="N14" s="49" t="e">
        <f t="shared" si="1"/>
        <v>#REF!</v>
      </c>
      <c r="O14" s="49" t="e">
        <f t="shared" si="1"/>
        <v>#REF!</v>
      </c>
      <c r="P14" s="49" t="e">
        <f t="shared" si="1"/>
        <v>#REF!</v>
      </c>
      <c r="Q14" s="49" t="e">
        <f t="shared" si="1"/>
        <v>#REF!</v>
      </c>
      <c r="R14" s="49" t="e">
        <f t="shared" si="1"/>
        <v>#REF!</v>
      </c>
      <c r="S14" s="49" t="e">
        <f t="shared" si="1"/>
        <v>#REF!</v>
      </c>
      <c r="T14" s="49" t="e">
        <f t="shared" si="1"/>
        <v>#REF!</v>
      </c>
      <c r="U14" s="83">
        <v>-2117.9</v>
      </c>
      <c r="V14" s="36">
        <v>1085442.5999999999</v>
      </c>
      <c r="W14" s="83">
        <v>-3757.3</v>
      </c>
      <c r="X14" s="36">
        <v>1024270.5</v>
      </c>
      <c r="Y14" s="83">
        <v>-3757.3</v>
      </c>
      <c r="Z14" s="36">
        <v>1010310.9</v>
      </c>
    </row>
    <row r="15" spans="1:26" s="2" customFormat="1" ht="27" customHeight="1">
      <c r="A15" s="67"/>
      <c r="B15" s="65"/>
      <c r="C15" s="65" t="s">
        <v>12</v>
      </c>
      <c r="D15" s="68"/>
      <c r="E15" s="69" t="s">
        <v>197</v>
      </c>
      <c r="F15" s="51" t="e">
        <f>F16+#REF!</f>
        <v>#REF!</v>
      </c>
      <c r="G15" s="51" t="e">
        <f>G16+#REF!</f>
        <v>#REF!</v>
      </c>
      <c r="H15" s="51" t="e">
        <f>H16+#REF!</f>
        <v>#REF!</v>
      </c>
      <c r="I15" s="49" t="e">
        <f>I16+#REF!</f>
        <v>#REF!</v>
      </c>
      <c r="J15" s="49" t="e">
        <f>J16+#REF!</f>
        <v>#REF!</v>
      </c>
      <c r="K15" s="49" t="e">
        <f>K16+#REF!</f>
        <v>#REF!</v>
      </c>
      <c r="L15" s="49" t="e">
        <f>L16+#REF!</f>
        <v>#REF!</v>
      </c>
      <c r="M15" s="49" t="e">
        <f>M16+#REF!</f>
        <v>#REF!</v>
      </c>
      <c r="N15" s="49" t="e">
        <f>N16+#REF!</f>
        <v>#REF!</v>
      </c>
      <c r="O15" s="49" t="e">
        <f>O16+#REF!</f>
        <v>#REF!</v>
      </c>
      <c r="P15" s="49" t="e">
        <f>P16+#REF!</f>
        <v>#REF!</v>
      </c>
      <c r="Q15" s="49" t="e">
        <f>Q16+#REF!</f>
        <v>#REF!</v>
      </c>
      <c r="R15" s="49" t="e">
        <f>R16+#REF!</f>
        <v>#REF!</v>
      </c>
      <c r="S15" s="49" t="e">
        <f>S16+#REF!</f>
        <v>#REF!</v>
      </c>
      <c r="T15" s="49" t="e">
        <f>T16+#REF!</f>
        <v>#REF!</v>
      </c>
      <c r="U15" s="83">
        <v>-2117.9</v>
      </c>
      <c r="V15" s="36">
        <v>1085442.5999999999</v>
      </c>
      <c r="W15" s="83">
        <v>-3757.3</v>
      </c>
      <c r="X15" s="36">
        <v>1024270.5</v>
      </c>
      <c r="Y15" s="83">
        <v>-3757.3</v>
      </c>
      <c r="Z15" s="36">
        <v>1010310.9</v>
      </c>
    </row>
    <row r="16" spans="1:26" s="5" customFormat="1" ht="13.5" customHeight="1">
      <c r="A16" s="67"/>
      <c r="B16" s="65"/>
      <c r="C16" s="65" t="s">
        <v>13</v>
      </c>
      <c r="D16" s="68"/>
      <c r="E16" s="69" t="s">
        <v>21</v>
      </c>
      <c r="F16" s="32" t="e">
        <f>F17+#REF!+#REF!+#REF!+#REF!</f>
        <v>#REF!</v>
      </c>
      <c r="G16" s="32" t="e">
        <f>G17+#REF!+#REF!+#REF!+#REF!</f>
        <v>#REF!</v>
      </c>
      <c r="H16" s="32" t="e">
        <f>H17+#REF!+#REF!+#REF!+#REF!</f>
        <v>#REF!</v>
      </c>
      <c r="I16" s="49" t="e">
        <f>I17+#REF!+#REF!+#REF!+#REF!</f>
        <v>#REF!</v>
      </c>
      <c r="J16" s="49" t="e">
        <f>J17+#REF!+#REF!+#REF!+#REF!</f>
        <v>#REF!</v>
      </c>
      <c r="K16" s="49" t="e">
        <f>K17+#REF!+#REF!+#REF!+#REF!</f>
        <v>#REF!</v>
      </c>
      <c r="L16" s="49" t="e">
        <f>L17+#REF!+#REF!+#REF!+#REF!</f>
        <v>#REF!</v>
      </c>
      <c r="M16" s="49" t="e">
        <f>M17+#REF!+#REF!+#REF!+#REF!</f>
        <v>#REF!</v>
      </c>
      <c r="N16" s="49" t="e">
        <f>N17+#REF!+#REF!+#REF!+#REF!</f>
        <v>#REF!</v>
      </c>
      <c r="O16" s="49" t="e">
        <f>O17+#REF!+#REF!+#REF!+#REF!</f>
        <v>#REF!</v>
      </c>
      <c r="P16" s="49" t="e">
        <f>P17+#REF!+#REF!+#REF!+#REF!</f>
        <v>#REF!</v>
      </c>
      <c r="Q16" s="49" t="e">
        <f>Q17+#REF!+#REF!+#REF!+#REF!</f>
        <v>#REF!</v>
      </c>
      <c r="R16" s="49" t="e">
        <f>R17+#REF!+#REF!+#REF!+#REF!</f>
        <v>#REF!</v>
      </c>
      <c r="S16" s="49" t="e">
        <f>S17+#REF!+#REF!+#REF!+#REF!</f>
        <v>#REF!</v>
      </c>
      <c r="T16" s="49" t="e">
        <f>T17+#REF!+#REF!+#REF!+#REF!</f>
        <v>#REF!</v>
      </c>
      <c r="U16" s="83">
        <v>-2117.9</v>
      </c>
      <c r="V16" s="36">
        <v>1047116.2999999999</v>
      </c>
      <c r="W16" s="83">
        <v>-3757.3</v>
      </c>
      <c r="X16" s="36">
        <v>986773.1</v>
      </c>
      <c r="Y16" s="83">
        <v>-3757.3</v>
      </c>
      <c r="Z16" s="36">
        <v>972813.5</v>
      </c>
    </row>
    <row r="17" spans="1:26" s="5" customFormat="1" ht="25.5">
      <c r="A17" s="67"/>
      <c r="B17" s="65"/>
      <c r="C17" s="74" t="s">
        <v>14</v>
      </c>
      <c r="D17" s="75"/>
      <c r="E17" s="101" t="s">
        <v>15</v>
      </c>
      <c r="F17" s="31" t="e">
        <f>F18+#REF!</f>
        <v>#REF!</v>
      </c>
      <c r="G17" s="31" t="e">
        <f>G18+#REF!</f>
        <v>#REF!</v>
      </c>
      <c r="H17" s="31" t="e">
        <f>H18+#REF!</f>
        <v>#REF!</v>
      </c>
      <c r="I17" s="49"/>
      <c r="J17" s="49" t="e">
        <f>J18+#REF!</f>
        <v>#REF!</v>
      </c>
      <c r="K17" s="49"/>
      <c r="L17" s="49" t="e">
        <f>L18+#REF!</f>
        <v>#REF!</v>
      </c>
      <c r="M17" s="49"/>
      <c r="N17" s="49" t="e">
        <f>N18+#REF!</f>
        <v>#REF!</v>
      </c>
      <c r="O17" s="49"/>
      <c r="P17" s="49" t="e">
        <f>P18+#REF!</f>
        <v>#REF!</v>
      </c>
      <c r="Q17" s="49"/>
      <c r="R17" s="49" t="e">
        <f>R18+#REF!</f>
        <v>#REF!</v>
      </c>
      <c r="S17" s="49"/>
      <c r="T17" s="49" t="e">
        <f>T18+#REF!</f>
        <v>#REF!</v>
      </c>
      <c r="U17" s="83">
        <v>-2117.9</v>
      </c>
      <c r="V17" s="36">
        <v>910403.5</v>
      </c>
      <c r="W17" s="83">
        <v>-3757.3</v>
      </c>
      <c r="X17" s="36">
        <v>904219.1</v>
      </c>
      <c r="Y17" s="83">
        <v>-3757.3</v>
      </c>
      <c r="Z17" s="36">
        <v>904219.1</v>
      </c>
    </row>
    <row r="18" spans="1:26" s="1" customFormat="1" ht="39" customHeight="1">
      <c r="A18" s="67"/>
      <c r="B18" s="70"/>
      <c r="C18" s="65" t="s">
        <v>92</v>
      </c>
      <c r="D18" s="65"/>
      <c r="E18" s="95" t="s">
        <v>1</v>
      </c>
      <c r="F18" s="51">
        <f>F19</f>
        <v>180231.2</v>
      </c>
      <c r="G18" s="51">
        <f>G19</f>
        <v>175686.2</v>
      </c>
      <c r="H18" s="51">
        <f>H19</f>
        <v>175686.2</v>
      </c>
      <c r="I18" s="49"/>
      <c r="J18" s="49">
        <f>J19</f>
        <v>180231.2</v>
      </c>
      <c r="K18" s="49"/>
      <c r="L18" s="49">
        <f>L19</f>
        <v>175686.2</v>
      </c>
      <c r="M18" s="49"/>
      <c r="N18" s="49">
        <f>N19</f>
        <v>175686.2</v>
      </c>
      <c r="O18" s="49"/>
      <c r="P18" s="49">
        <f>P19</f>
        <v>180231.2</v>
      </c>
      <c r="Q18" s="49"/>
      <c r="R18" s="49">
        <f>R19</f>
        <v>175686.2</v>
      </c>
      <c r="S18" s="49"/>
      <c r="T18" s="49">
        <f>T19</f>
        <v>175686.2</v>
      </c>
      <c r="U18" s="83">
        <v>-2117.9</v>
      </c>
      <c r="V18" s="36">
        <v>178113.30000000002</v>
      </c>
      <c r="W18" s="83">
        <v>-3757.3</v>
      </c>
      <c r="X18" s="36">
        <v>171928.90000000002</v>
      </c>
      <c r="Y18" s="83">
        <v>-3757.3</v>
      </c>
      <c r="Z18" s="36">
        <v>171928.90000000002</v>
      </c>
    </row>
    <row r="19" spans="1:26" s="1" customFormat="1" ht="38.25">
      <c r="A19" s="67"/>
      <c r="B19" s="70"/>
      <c r="C19" s="65"/>
      <c r="D19" s="74" t="s">
        <v>32</v>
      </c>
      <c r="E19" s="77" t="s">
        <v>33</v>
      </c>
      <c r="F19" s="51">
        <v>180231.2</v>
      </c>
      <c r="G19" s="51">
        <v>175686.2</v>
      </c>
      <c r="H19" s="51">
        <v>175686.2</v>
      </c>
      <c r="I19" s="49"/>
      <c r="J19" s="49">
        <f>F19+I19</f>
        <v>180231.2</v>
      </c>
      <c r="K19" s="49"/>
      <c r="L19" s="49">
        <f>G19+K19</f>
        <v>175686.2</v>
      </c>
      <c r="M19" s="49"/>
      <c r="N19" s="49">
        <f>H19+M19</f>
        <v>175686.2</v>
      </c>
      <c r="O19" s="49"/>
      <c r="P19" s="49">
        <f>J19+O19</f>
        <v>180231.2</v>
      </c>
      <c r="Q19" s="49"/>
      <c r="R19" s="49">
        <f>L19+Q19</f>
        <v>175686.2</v>
      </c>
      <c r="S19" s="49"/>
      <c r="T19" s="49">
        <f>N19+S19</f>
        <v>175686.2</v>
      </c>
      <c r="U19" s="83">
        <v>-2117.9</v>
      </c>
      <c r="V19" s="36">
        <v>178113.30000000002</v>
      </c>
      <c r="W19" s="83">
        <v>-3757.3</v>
      </c>
      <c r="X19" s="36">
        <v>171928.90000000002</v>
      </c>
      <c r="Y19" s="83">
        <v>-3757.3</v>
      </c>
      <c r="Z19" s="36">
        <v>171928.90000000002</v>
      </c>
    </row>
    <row r="20" spans="1:26" s="1" customFormat="1" ht="15">
      <c r="A20" s="67"/>
      <c r="B20" s="65" t="s">
        <v>36</v>
      </c>
      <c r="C20" s="65"/>
      <c r="D20" s="65"/>
      <c r="E20" s="132" t="s">
        <v>37</v>
      </c>
      <c r="F20" s="51" t="e">
        <f>F21+#REF!</f>
        <v>#REF!</v>
      </c>
      <c r="G20" s="51" t="e">
        <f>G21+#REF!</f>
        <v>#REF!</v>
      </c>
      <c r="H20" s="51" t="e">
        <f>H21+#REF!</f>
        <v>#REF!</v>
      </c>
      <c r="I20" s="49" t="e">
        <f>I21+#REF!</f>
        <v>#REF!</v>
      </c>
      <c r="J20" s="49" t="e">
        <f>J21+#REF!</f>
        <v>#REF!</v>
      </c>
      <c r="K20" s="49" t="e">
        <f>K21+#REF!</f>
        <v>#REF!</v>
      </c>
      <c r="L20" s="49" t="e">
        <f>L21+#REF!</f>
        <v>#REF!</v>
      </c>
      <c r="M20" s="49" t="e">
        <f>M21+#REF!</f>
        <v>#REF!</v>
      </c>
      <c r="N20" s="49" t="e">
        <f>N21+#REF!</f>
        <v>#REF!</v>
      </c>
      <c r="O20" s="49"/>
      <c r="P20" s="49" t="e">
        <f>P21+#REF!</f>
        <v>#REF!</v>
      </c>
      <c r="Q20" s="49"/>
      <c r="R20" s="49" t="e">
        <f>R21+#REF!</f>
        <v>#REF!</v>
      </c>
      <c r="S20" s="49"/>
      <c r="T20" s="49" t="e">
        <f>T21+#REF!</f>
        <v>#REF!</v>
      </c>
      <c r="U20" s="36">
        <v>521.9</v>
      </c>
      <c r="V20" s="36">
        <v>26015.699999999997</v>
      </c>
      <c r="W20" s="36">
        <v>2504.9</v>
      </c>
      <c r="X20" s="36">
        <v>28280.899999999998</v>
      </c>
      <c r="Y20" s="36">
        <v>3757.3</v>
      </c>
      <c r="Z20" s="36">
        <v>29827.299999999996</v>
      </c>
    </row>
    <row r="21" spans="1:26" s="1" customFormat="1" ht="15">
      <c r="A21" s="67"/>
      <c r="B21" s="65" t="s">
        <v>38</v>
      </c>
      <c r="C21" s="65"/>
      <c r="D21" s="65"/>
      <c r="E21" s="90" t="s">
        <v>39</v>
      </c>
      <c r="F21" s="51" t="e">
        <f>#REF!+F22</f>
        <v>#REF!</v>
      </c>
      <c r="G21" s="51" t="e">
        <f>#REF!+G22</f>
        <v>#REF!</v>
      </c>
      <c r="H21" s="51" t="e">
        <f>#REF!+H22</f>
        <v>#REF!</v>
      </c>
      <c r="I21" s="49" t="e">
        <f>#REF!+I22</f>
        <v>#REF!</v>
      </c>
      <c r="J21" s="49" t="e">
        <f>#REF!+J22</f>
        <v>#REF!</v>
      </c>
      <c r="K21" s="49" t="e">
        <f>#REF!+K22</f>
        <v>#REF!</v>
      </c>
      <c r="L21" s="49" t="e">
        <f>#REF!+L22</f>
        <v>#REF!</v>
      </c>
      <c r="M21" s="49" t="e">
        <f>#REF!+M22</f>
        <v>#REF!</v>
      </c>
      <c r="N21" s="49" t="e">
        <f>#REF!+N22</f>
        <v>#REF!</v>
      </c>
      <c r="O21" s="49"/>
      <c r="P21" s="49" t="e">
        <f>#REF!+P22</f>
        <v>#REF!</v>
      </c>
      <c r="Q21" s="49"/>
      <c r="R21" s="49" t="e">
        <f>#REF!+R22</f>
        <v>#REF!</v>
      </c>
      <c r="S21" s="49"/>
      <c r="T21" s="49" t="e">
        <f>#REF!+T22</f>
        <v>#REF!</v>
      </c>
      <c r="U21" s="36">
        <v>521.9</v>
      </c>
      <c r="V21" s="36">
        <v>26015.699999999997</v>
      </c>
      <c r="W21" s="36">
        <v>2504.9</v>
      </c>
      <c r="X21" s="36">
        <v>28280.899999999998</v>
      </c>
      <c r="Y21" s="36">
        <v>3757.3</v>
      </c>
      <c r="Z21" s="36">
        <v>29827.299999999996</v>
      </c>
    </row>
    <row r="22" spans="1:26" s="1" customFormat="1" ht="25.5">
      <c r="A22" s="67"/>
      <c r="B22" s="65"/>
      <c r="C22" s="74" t="s">
        <v>202</v>
      </c>
      <c r="D22" s="74"/>
      <c r="E22" s="99" t="s">
        <v>203</v>
      </c>
      <c r="F22" s="51" t="e">
        <f>F23</f>
        <v>#REF!</v>
      </c>
      <c r="G22" s="51" t="e">
        <f>G23</f>
        <v>#REF!</v>
      </c>
      <c r="H22" s="51" t="e">
        <f>H23</f>
        <v>#REF!</v>
      </c>
      <c r="I22" s="49"/>
      <c r="J22" s="49" t="e">
        <f>J23</f>
        <v>#REF!</v>
      </c>
      <c r="K22" s="49"/>
      <c r="L22" s="49" t="e">
        <f>L23</f>
        <v>#REF!</v>
      </c>
      <c r="M22" s="49"/>
      <c r="N22" s="49" t="e">
        <f>N23</f>
        <v>#REF!</v>
      </c>
      <c r="O22" s="49"/>
      <c r="P22" s="49" t="e">
        <f>P23</f>
        <v>#REF!</v>
      </c>
      <c r="Q22" s="49"/>
      <c r="R22" s="49" t="e">
        <f>R23</f>
        <v>#REF!</v>
      </c>
      <c r="S22" s="49"/>
      <c r="T22" s="49" t="e">
        <f>T23</f>
        <v>#REF!</v>
      </c>
      <c r="U22" s="36">
        <v>521.9</v>
      </c>
      <c r="V22" s="36">
        <v>11109.9</v>
      </c>
      <c r="W22" s="36">
        <v>2504.9</v>
      </c>
      <c r="X22" s="36">
        <v>13386.9</v>
      </c>
      <c r="Y22" s="36">
        <v>3757.3</v>
      </c>
      <c r="Z22" s="36">
        <v>14933.3</v>
      </c>
    </row>
    <row r="23" spans="1:26" s="1" customFormat="1" ht="63.75">
      <c r="A23" s="67"/>
      <c r="B23" s="65"/>
      <c r="C23" s="74" t="s">
        <v>204</v>
      </c>
      <c r="D23" s="74"/>
      <c r="E23" s="99" t="s">
        <v>205</v>
      </c>
      <c r="F23" s="51" t="e">
        <f>#REF!+#REF!</f>
        <v>#REF!</v>
      </c>
      <c r="G23" s="51" t="e">
        <f>#REF!+#REF!</f>
        <v>#REF!</v>
      </c>
      <c r="H23" s="51" t="e">
        <f>#REF!+#REF!</f>
        <v>#REF!</v>
      </c>
      <c r="I23" s="49"/>
      <c r="J23" s="49" t="e">
        <f>#REF!+#REF!</f>
        <v>#REF!</v>
      </c>
      <c r="K23" s="49"/>
      <c r="L23" s="49" t="e">
        <f>#REF!+#REF!</f>
        <v>#REF!</v>
      </c>
      <c r="M23" s="49"/>
      <c r="N23" s="49" t="e">
        <f>#REF!+#REF!</f>
        <v>#REF!</v>
      </c>
      <c r="O23" s="49"/>
      <c r="P23" s="49" t="e">
        <f>#REF!+#REF!</f>
        <v>#REF!</v>
      </c>
      <c r="Q23" s="49"/>
      <c r="R23" s="49" t="e">
        <f>#REF!+#REF!</f>
        <v>#REF!</v>
      </c>
      <c r="S23" s="49"/>
      <c r="T23" s="49" t="e">
        <f>#REF!+#REF!</f>
        <v>#REF!</v>
      </c>
      <c r="U23" s="36">
        <v>521.9</v>
      </c>
      <c r="V23" s="36">
        <v>11109.9</v>
      </c>
      <c r="W23" s="36">
        <v>2504.9</v>
      </c>
      <c r="X23" s="36">
        <v>13386.9</v>
      </c>
      <c r="Y23" s="36">
        <v>3757.3</v>
      </c>
      <c r="Z23" s="36">
        <v>14933.3</v>
      </c>
    </row>
    <row r="24" spans="1:26" s="1" customFormat="1" ht="94.5" customHeight="1">
      <c r="A24" s="67"/>
      <c r="B24" s="65"/>
      <c r="C24" s="74" t="s">
        <v>272</v>
      </c>
      <c r="D24" s="74"/>
      <c r="E24" s="99" t="s">
        <v>274</v>
      </c>
      <c r="F24" s="130"/>
      <c r="G24" s="130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36">
        <v>521.9</v>
      </c>
      <c r="V24" s="36">
        <v>521.9</v>
      </c>
      <c r="W24" s="36">
        <v>2504.9</v>
      </c>
      <c r="X24" s="36">
        <v>2504.9</v>
      </c>
      <c r="Y24" s="36">
        <v>3757.3</v>
      </c>
      <c r="Z24" s="36">
        <v>3757.3</v>
      </c>
    </row>
    <row r="25" spans="1:26" s="1" customFormat="1" ht="96.75" customHeight="1">
      <c r="A25" s="67"/>
      <c r="B25" s="65"/>
      <c r="C25" s="74" t="s">
        <v>273</v>
      </c>
      <c r="D25" s="74"/>
      <c r="E25" s="99" t="s">
        <v>275</v>
      </c>
      <c r="F25" s="130"/>
      <c r="G25" s="130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36">
        <v>521.9</v>
      </c>
      <c r="V25" s="36">
        <v>521.9</v>
      </c>
      <c r="W25" s="36">
        <v>2504.9</v>
      </c>
      <c r="X25" s="36">
        <v>2504.9</v>
      </c>
      <c r="Y25" s="36">
        <v>3757.3</v>
      </c>
      <c r="Z25" s="36">
        <v>3757.3</v>
      </c>
    </row>
    <row r="26" spans="1:26" s="1" customFormat="1" ht="25.5">
      <c r="A26" s="67"/>
      <c r="B26" s="65"/>
      <c r="C26" s="74"/>
      <c r="D26" s="74" t="s">
        <v>30</v>
      </c>
      <c r="E26" s="99" t="s">
        <v>31</v>
      </c>
      <c r="F26" s="130"/>
      <c r="G26" s="130"/>
      <c r="H26" s="130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36">
        <v>521.9</v>
      </c>
      <c r="V26" s="36">
        <v>521.9</v>
      </c>
      <c r="W26" s="36">
        <v>2504.9</v>
      </c>
      <c r="X26" s="36">
        <v>2504.9</v>
      </c>
      <c r="Y26" s="36">
        <v>3757.3</v>
      </c>
      <c r="Z26" s="36">
        <v>3757.3</v>
      </c>
    </row>
    <row r="27" spans="1:26" s="1" customFormat="1" ht="30">
      <c r="A27" s="64" t="s">
        <v>50</v>
      </c>
      <c r="B27" s="65"/>
      <c r="C27" s="65"/>
      <c r="D27" s="65"/>
      <c r="E27" s="66" t="s">
        <v>51</v>
      </c>
      <c r="F27" s="52" t="e">
        <f>F28+#REF!</f>
        <v>#REF!</v>
      </c>
      <c r="G27" s="52" t="e">
        <f>G28+#REF!</f>
        <v>#REF!</v>
      </c>
      <c r="H27" s="52" t="e">
        <f>H28+#REF!</f>
        <v>#REF!</v>
      </c>
      <c r="I27" s="49" t="e">
        <f>I28+#REF!</f>
        <v>#REF!</v>
      </c>
      <c r="J27" s="49" t="e">
        <f>J28+#REF!</f>
        <v>#REF!</v>
      </c>
      <c r="K27" s="52" t="e">
        <f>K28+#REF!</f>
        <v>#REF!</v>
      </c>
      <c r="L27" s="49" t="e">
        <f>L28+#REF!</f>
        <v>#REF!</v>
      </c>
      <c r="M27" s="49" t="e">
        <f>M28+#REF!</f>
        <v>#REF!</v>
      </c>
      <c r="N27" s="49" t="e">
        <f>N28+#REF!</f>
        <v>#REF!</v>
      </c>
      <c r="O27" s="49" t="e">
        <f>O28+#REF!</f>
        <v>#REF!</v>
      </c>
      <c r="P27" s="49" t="e">
        <f>P28+#REF!</f>
        <v>#REF!</v>
      </c>
      <c r="Q27" s="49" t="e">
        <f>Q28+#REF!</f>
        <v>#REF!</v>
      </c>
      <c r="R27" s="49" t="e">
        <f>R28+#REF!</f>
        <v>#REF!</v>
      </c>
      <c r="S27" s="49" t="e">
        <f>S28+#REF!</f>
        <v>#REF!</v>
      </c>
      <c r="T27" s="49" t="e">
        <f>T28+#REF!</f>
        <v>#REF!</v>
      </c>
      <c r="U27" s="83">
        <v>-4313.9</v>
      </c>
      <c r="V27" s="36">
        <v>140351.90000000002</v>
      </c>
      <c r="W27" s="83">
        <v>-20330.9</v>
      </c>
      <c r="X27" s="36">
        <v>118627.90000000001</v>
      </c>
      <c r="Y27" s="83">
        <v>-33517.9</v>
      </c>
      <c r="Z27" s="36">
        <v>119681</v>
      </c>
    </row>
    <row r="28" spans="1:26" s="1" customFormat="1" ht="15">
      <c r="A28" s="67"/>
      <c r="B28" s="74" t="s">
        <v>61</v>
      </c>
      <c r="C28" s="75"/>
      <c r="D28" s="75"/>
      <c r="E28" s="76" t="s">
        <v>62</v>
      </c>
      <c r="F28" s="31" t="e">
        <f>#REF!+F29+#REF!</f>
        <v>#REF!</v>
      </c>
      <c r="G28" s="31" t="e">
        <f>#REF!+G29+#REF!</f>
        <v>#REF!</v>
      </c>
      <c r="H28" s="31" t="e">
        <f>#REF!+H29+#REF!</f>
        <v>#REF!</v>
      </c>
      <c r="I28" s="49" t="e">
        <f>#REF!+I29+#REF!</f>
        <v>#REF!</v>
      </c>
      <c r="J28" s="49" t="e">
        <f>#REF!+J29+#REF!</f>
        <v>#REF!</v>
      </c>
      <c r="K28" s="52" t="e">
        <f>#REF!+K29+#REF!</f>
        <v>#REF!</v>
      </c>
      <c r="L28" s="49" t="e">
        <f>#REF!+L29+#REF!</f>
        <v>#REF!</v>
      </c>
      <c r="M28" s="49" t="e">
        <f>#REF!+M29+#REF!</f>
        <v>#REF!</v>
      </c>
      <c r="N28" s="49" t="e">
        <f>#REF!+N29+#REF!</f>
        <v>#REF!</v>
      </c>
      <c r="O28" s="49" t="e">
        <f>#REF!+O29+#REF!</f>
        <v>#REF!</v>
      </c>
      <c r="P28" s="49" t="e">
        <f>#REF!+P29+#REF!</f>
        <v>#REF!</v>
      </c>
      <c r="Q28" s="49" t="e">
        <f>#REF!+Q29+#REF!</f>
        <v>#REF!</v>
      </c>
      <c r="R28" s="49" t="e">
        <f>#REF!+R29+#REF!</f>
        <v>#REF!</v>
      </c>
      <c r="S28" s="49" t="e">
        <f>#REF!+S29+#REF!</f>
        <v>#REF!</v>
      </c>
      <c r="T28" s="49" t="e">
        <f>#REF!+T29+#REF!</f>
        <v>#REF!</v>
      </c>
      <c r="U28" s="83">
        <v>-4313.9</v>
      </c>
      <c r="V28" s="36">
        <v>140351.90000000002</v>
      </c>
      <c r="W28" s="83">
        <v>-20330.9</v>
      </c>
      <c r="X28" s="36">
        <v>118627.90000000001</v>
      </c>
      <c r="Y28" s="83">
        <v>-33517.9</v>
      </c>
      <c r="Z28" s="36">
        <v>119681</v>
      </c>
    </row>
    <row r="29" spans="1:26" s="1" customFormat="1" ht="15">
      <c r="A29" s="67"/>
      <c r="B29" s="65" t="s">
        <v>44</v>
      </c>
      <c r="C29" s="65"/>
      <c r="D29" s="68"/>
      <c r="E29" s="69" t="s">
        <v>65</v>
      </c>
      <c r="F29" s="31">
        <f aca="true" t="shared" si="2" ref="F29:T31">F30</f>
        <v>10114.2</v>
      </c>
      <c r="G29" s="31">
        <f t="shared" si="2"/>
        <v>10321.9</v>
      </c>
      <c r="H29" s="31">
        <f t="shared" si="2"/>
        <v>11073.1</v>
      </c>
      <c r="I29" s="49">
        <f t="shared" si="2"/>
        <v>19774</v>
      </c>
      <c r="J29" s="49">
        <f t="shared" si="2"/>
        <v>29888.2</v>
      </c>
      <c r="K29" s="52">
        <f t="shared" si="2"/>
        <v>-6454.1</v>
      </c>
      <c r="L29" s="49">
        <f t="shared" si="2"/>
        <v>3867.7999999999993</v>
      </c>
      <c r="M29" s="49">
        <f t="shared" si="2"/>
        <v>7444.8</v>
      </c>
      <c r="N29" s="49">
        <f t="shared" si="2"/>
        <v>18517.9</v>
      </c>
      <c r="O29" s="49">
        <f t="shared" si="2"/>
        <v>0</v>
      </c>
      <c r="P29" s="49">
        <f t="shared" si="2"/>
        <v>29888.2</v>
      </c>
      <c r="Q29" s="49">
        <f t="shared" si="2"/>
        <v>20000</v>
      </c>
      <c r="R29" s="49">
        <f t="shared" si="2"/>
        <v>23867.8</v>
      </c>
      <c r="S29" s="49">
        <f t="shared" si="2"/>
        <v>20000</v>
      </c>
      <c r="T29" s="49">
        <f t="shared" si="2"/>
        <v>38517.9</v>
      </c>
      <c r="U29" s="83">
        <v>-4313.9</v>
      </c>
      <c r="V29" s="36">
        <v>25574.300000000003</v>
      </c>
      <c r="W29" s="83">
        <v>-20330.9</v>
      </c>
      <c r="X29" s="36">
        <v>3536.899999999998</v>
      </c>
      <c r="Y29" s="83">
        <v>-33517.9</v>
      </c>
      <c r="Z29" s="36">
        <v>5000</v>
      </c>
    </row>
    <row r="30" spans="1:26" s="1" customFormat="1" ht="25.5">
      <c r="A30" s="67"/>
      <c r="B30" s="65"/>
      <c r="C30" s="74" t="s">
        <v>118</v>
      </c>
      <c r="D30" s="65"/>
      <c r="E30" s="95" t="s">
        <v>119</v>
      </c>
      <c r="F30" s="31">
        <f>F31</f>
        <v>10114.2</v>
      </c>
      <c r="G30" s="31">
        <f>G31</f>
        <v>10321.9</v>
      </c>
      <c r="H30" s="31">
        <f>H31</f>
        <v>11073.1</v>
      </c>
      <c r="I30" s="63">
        <f t="shared" si="2"/>
        <v>19774</v>
      </c>
      <c r="J30" s="49">
        <f t="shared" si="2"/>
        <v>29888.2</v>
      </c>
      <c r="K30" s="52">
        <f t="shared" si="2"/>
        <v>-6454.1</v>
      </c>
      <c r="L30" s="49">
        <f t="shared" si="2"/>
        <v>3867.7999999999993</v>
      </c>
      <c r="M30" s="49">
        <f t="shared" si="2"/>
        <v>7444.8</v>
      </c>
      <c r="N30" s="49">
        <f t="shared" si="2"/>
        <v>18517.9</v>
      </c>
      <c r="O30" s="49">
        <f t="shared" si="2"/>
        <v>0</v>
      </c>
      <c r="P30" s="49">
        <f t="shared" si="2"/>
        <v>29888.2</v>
      </c>
      <c r="Q30" s="49">
        <f t="shared" si="2"/>
        <v>20000</v>
      </c>
      <c r="R30" s="49">
        <f t="shared" si="2"/>
        <v>23867.8</v>
      </c>
      <c r="S30" s="49">
        <f t="shared" si="2"/>
        <v>20000</v>
      </c>
      <c r="T30" s="49">
        <f t="shared" si="2"/>
        <v>38517.9</v>
      </c>
      <c r="U30" s="83">
        <v>-4313.9</v>
      </c>
      <c r="V30" s="36">
        <v>25574.300000000003</v>
      </c>
      <c r="W30" s="83">
        <v>-20330.9</v>
      </c>
      <c r="X30" s="36">
        <v>3536.899999999998</v>
      </c>
      <c r="Y30" s="83">
        <v>-33517.9</v>
      </c>
      <c r="Z30" s="36">
        <v>5000</v>
      </c>
    </row>
    <row r="31" spans="1:26" s="6" customFormat="1" ht="25.5">
      <c r="A31" s="67"/>
      <c r="B31" s="65"/>
      <c r="C31" s="65" t="s">
        <v>0</v>
      </c>
      <c r="D31" s="97"/>
      <c r="E31" s="69" t="s">
        <v>42</v>
      </c>
      <c r="F31" s="31">
        <f t="shared" si="2"/>
        <v>10114.2</v>
      </c>
      <c r="G31" s="31">
        <f t="shared" si="2"/>
        <v>10321.9</v>
      </c>
      <c r="H31" s="31">
        <f t="shared" si="2"/>
        <v>11073.1</v>
      </c>
      <c r="I31" s="63">
        <f t="shared" si="2"/>
        <v>19774</v>
      </c>
      <c r="J31" s="49">
        <f t="shared" si="2"/>
        <v>29888.2</v>
      </c>
      <c r="K31" s="52">
        <f t="shared" si="2"/>
        <v>-6454.1</v>
      </c>
      <c r="L31" s="49">
        <f t="shared" si="2"/>
        <v>3867.7999999999993</v>
      </c>
      <c r="M31" s="49">
        <f t="shared" si="2"/>
        <v>7444.8</v>
      </c>
      <c r="N31" s="49">
        <f t="shared" si="2"/>
        <v>18517.9</v>
      </c>
      <c r="O31" s="49">
        <f t="shared" si="2"/>
        <v>0</v>
      </c>
      <c r="P31" s="49">
        <f t="shared" si="2"/>
        <v>29888.2</v>
      </c>
      <c r="Q31" s="49">
        <f t="shared" si="2"/>
        <v>20000</v>
      </c>
      <c r="R31" s="49">
        <f t="shared" si="2"/>
        <v>23867.8</v>
      </c>
      <c r="S31" s="49">
        <f t="shared" si="2"/>
        <v>20000</v>
      </c>
      <c r="T31" s="49">
        <f t="shared" si="2"/>
        <v>38517.9</v>
      </c>
      <c r="U31" s="83">
        <v>-4313.9</v>
      </c>
      <c r="V31" s="36">
        <v>25574.300000000003</v>
      </c>
      <c r="W31" s="83">
        <v>-20330.9</v>
      </c>
      <c r="X31" s="36">
        <v>3536.899999999998</v>
      </c>
      <c r="Y31" s="83">
        <v>-33517.9</v>
      </c>
      <c r="Z31" s="36">
        <v>5000</v>
      </c>
    </row>
    <row r="32" spans="1:26" s="6" customFormat="1" ht="15">
      <c r="A32" s="67"/>
      <c r="B32" s="65"/>
      <c r="C32" s="79"/>
      <c r="D32" s="97" t="s">
        <v>28</v>
      </c>
      <c r="E32" s="81" t="s">
        <v>29</v>
      </c>
      <c r="F32" s="31">
        <f>10000+114.2</f>
        <v>10114.2</v>
      </c>
      <c r="G32" s="31">
        <f>10000+321.9</f>
        <v>10321.9</v>
      </c>
      <c r="H32" s="31">
        <f>10000+1073.1</f>
        <v>11073.1</v>
      </c>
      <c r="I32" s="63">
        <f>19671+103</f>
        <v>19774</v>
      </c>
      <c r="J32" s="49">
        <f>F32+I32</f>
        <v>29888.2</v>
      </c>
      <c r="K32" s="52">
        <v>-6454.1</v>
      </c>
      <c r="L32" s="49">
        <f>G32+K32</f>
        <v>3867.7999999999993</v>
      </c>
      <c r="M32" s="49">
        <v>7444.8</v>
      </c>
      <c r="N32" s="49">
        <f>H32+M32</f>
        <v>18517.9</v>
      </c>
      <c r="O32" s="49">
        <v>0</v>
      </c>
      <c r="P32" s="49">
        <f>J32+O32</f>
        <v>29888.2</v>
      </c>
      <c r="Q32" s="52">
        <f>10000+10000</f>
        <v>20000</v>
      </c>
      <c r="R32" s="49">
        <f>L32+Q32</f>
        <v>23867.8</v>
      </c>
      <c r="S32" s="49">
        <f>10000+10000</f>
        <v>20000</v>
      </c>
      <c r="T32" s="49">
        <f>N32+S32</f>
        <v>38517.9</v>
      </c>
      <c r="U32" s="83">
        <v>-4313.9</v>
      </c>
      <c r="V32" s="36">
        <v>25574.300000000003</v>
      </c>
      <c r="W32" s="37">
        <v>-20330.9</v>
      </c>
      <c r="X32" s="36">
        <v>3536.899999999998</v>
      </c>
      <c r="Y32" s="83">
        <v>-33517.9</v>
      </c>
      <c r="Z32" s="36">
        <v>5000</v>
      </c>
    </row>
    <row r="33" spans="1:26" s="1" customFormat="1" ht="45">
      <c r="A33" s="64" t="s">
        <v>52</v>
      </c>
      <c r="B33" s="65"/>
      <c r="C33" s="65"/>
      <c r="D33" s="65"/>
      <c r="E33" s="66" t="s">
        <v>35</v>
      </c>
      <c r="F33" s="52" t="e">
        <f>F34+#REF!+#REF!+#REF!+F53+#REF!+#REF!+#REF!</f>
        <v>#REF!</v>
      </c>
      <c r="G33" s="52" t="e">
        <f>G34+#REF!+#REF!+#REF!+G53+#REF!+#REF!+#REF!</f>
        <v>#REF!</v>
      </c>
      <c r="H33" s="52" t="e">
        <f>H34+#REF!+#REF!+#REF!+H53+#REF!+#REF!+#REF!</f>
        <v>#REF!</v>
      </c>
      <c r="I33" s="49" t="e">
        <f>I34+#REF!+#REF!+#REF!+I53+#REF!+#REF!+#REF!</f>
        <v>#REF!</v>
      </c>
      <c r="J33" s="49" t="e">
        <f>J34+#REF!+#REF!+#REF!+J53+#REF!+#REF!+#REF!</f>
        <v>#REF!</v>
      </c>
      <c r="K33" s="49" t="e">
        <f>K34+#REF!+#REF!+#REF!+K53+#REF!+#REF!+#REF!</f>
        <v>#REF!</v>
      </c>
      <c r="L33" s="49" t="e">
        <f>L34+#REF!+#REF!+#REF!+L53+#REF!+#REF!+#REF!</f>
        <v>#REF!</v>
      </c>
      <c r="M33" s="49" t="e">
        <f>M34+#REF!+#REF!+#REF!+M53+#REF!+#REF!+#REF!</f>
        <v>#REF!</v>
      </c>
      <c r="N33" s="49" t="e">
        <f>N34+#REF!+#REF!+#REF!+N53+#REF!+#REF!+#REF!</f>
        <v>#REF!</v>
      </c>
      <c r="O33" s="49" t="e">
        <f>O34+#REF!+#REF!+#REF!+O53+#REF!+#REF!+#REF!</f>
        <v>#REF!</v>
      </c>
      <c r="P33" s="49" t="e">
        <f>P34+#REF!+#REF!+#REF!+P53+#REF!+#REF!+#REF!</f>
        <v>#REF!</v>
      </c>
      <c r="Q33" s="52" t="e">
        <f>Q34+#REF!+#REF!+#REF!+Q53+#REF!+#REF!+#REF!</f>
        <v>#REF!</v>
      </c>
      <c r="R33" s="49" t="e">
        <f>R34+#REF!+#REF!+#REF!+R53+#REF!+#REF!+#REF!</f>
        <v>#REF!</v>
      </c>
      <c r="S33" s="49" t="e">
        <f>S34+#REF!+#REF!+#REF!+S53+#REF!+#REF!+#REF!</f>
        <v>#REF!</v>
      </c>
      <c r="T33" s="49" t="e">
        <f>T34+#REF!+#REF!+#REF!+T53+#REF!+#REF!+#REF!</f>
        <v>#REF!</v>
      </c>
      <c r="U33" s="83">
        <v>6570.7</v>
      </c>
      <c r="V33" s="36">
        <v>935194.4</v>
      </c>
      <c r="W33" s="36">
        <v>5070.1</v>
      </c>
      <c r="X33" s="36">
        <v>299937.9</v>
      </c>
      <c r="Y33" s="36">
        <v>126813.1</v>
      </c>
      <c r="Z33" s="36">
        <v>397278.89999999997</v>
      </c>
    </row>
    <row r="34" spans="1:26" s="1" customFormat="1" ht="15">
      <c r="A34" s="67"/>
      <c r="B34" s="74" t="s">
        <v>61</v>
      </c>
      <c r="C34" s="75"/>
      <c r="D34" s="75"/>
      <c r="E34" s="76" t="s">
        <v>62</v>
      </c>
      <c r="F34" s="31" t="e">
        <f aca="true" t="shared" si="3" ref="F34:T35">F35</f>
        <v>#REF!</v>
      </c>
      <c r="G34" s="31" t="e">
        <f t="shared" si="3"/>
        <v>#REF!</v>
      </c>
      <c r="H34" s="31" t="e">
        <f t="shared" si="3"/>
        <v>#REF!</v>
      </c>
      <c r="I34" s="49" t="e">
        <f t="shared" si="3"/>
        <v>#REF!</v>
      </c>
      <c r="J34" s="49" t="e">
        <f t="shared" si="3"/>
        <v>#REF!</v>
      </c>
      <c r="K34" s="49" t="e">
        <f t="shared" si="3"/>
        <v>#REF!</v>
      </c>
      <c r="L34" s="49" t="e">
        <f t="shared" si="3"/>
        <v>#REF!</v>
      </c>
      <c r="M34" s="49" t="e">
        <f t="shared" si="3"/>
        <v>#REF!</v>
      </c>
      <c r="N34" s="49" t="e">
        <f t="shared" si="3"/>
        <v>#REF!</v>
      </c>
      <c r="O34" s="49" t="e">
        <f t="shared" si="3"/>
        <v>#REF!</v>
      </c>
      <c r="P34" s="49" t="e">
        <f t="shared" si="3"/>
        <v>#REF!</v>
      </c>
      <c r="Q34" s="49" t="e">
        <f t="shared" si="3"/>
        <v>#REF!</v>
      </c>
      <c r="R34" s="49" t="e">
        <f t="shared" si="3"/>
        <v>#REF!</v>
      </c>
      <c r="S34" s="49" t="e">
        <f t="shared" si="3"/>
        <v>#REF!</v>
      </c>
      <c r="T34" s="49" t="e">
        <f t="shared" si="3"/>
        <v>#REF!</v>
      </c>
      <c r="U34" s="83">
        <v>6570.7</v>
      </c>
      <c r="V34" s="36">
        <v>245436.90000000002</v>
      </c>
      <c r="W34" s="36">
        <v>5070.1</v>
      </c>
      <c r="X34" s="36">
        <v>202478.50000000003</v>
      </c>
      <c r="Y34" s="36">
        <v>0</v>
      </c>
      <c r="Z34" s="36">
        <v>195064.19999999998</v>
      </c>
    </row>
    <row r="35" spans="1:26" s="1" customFormat="1" ht="15">
      <c r="A35" s="67"/>
      <c r="B35" s="65" t="s">
        <v>46</v>
      </c>
      <c r="C35" s="65"/>
      <c r="D35" s="68"/>
      <c r="E35" s="69" t="s">
        <v>66</v>
      </c>
      <c r="F35" s="31" t="e">
        <f>F36</f>
        <v>#REF!</v>
      </c>
      <c r="G35" s="31" t="e">
        <f t="shared" si="3"/>
        <v>#REF!</v>
      </c>
      <c r="H35" s="31" t="e">
        <f t="shared" si="3"/>
        <v>#REF!</v>
      </c>
      <c r="I35" s="49" t="e">
        <f t="shared" si="3"/>
        <v>#REF!</v>
      </c>
      <c r="J35" s="49" t="e">
        <f t="shared" si="3"/>
        <v>#REF!</v>
      </c>
      <c r="K35" s="49" t="e">
        <f t="shared" si="3"/>
        <v>#REF!</v>
      </c>
      <c r="L35" s="49" t="e">
        <f t="shared" si="3"/>
        <v>#REF!</v>
      </c>
      <c r="M35" s="49" t="e">
        <f t="shared" si="3"/>
        <v>#REF!</v>
      </c>
      <c r="N35" s="49" t="e">
        <f t="shared" si="3"/>
        <v>#REF!</v>
      </c>
      <c r="O35" s="49" t="e">
        <f t="shared" si="3"/>
        <v>#REF!</v>
      </c>
      <c r="P35" s="49" t="e">
        <f t="shared" si="3"/>
        <v>#REF!</v>
      </c>
      <c r="Q35" s="49" t="e">
        <f t="shared" si="3"/>
        <v>#REF!</v>
      </c>
      <c r="R35" s="49" t="e">
        <f t="shared" si="3"/>
        <v>#REF!</v>
      </c>
      <c r="S35" s="49" t="e">
        <f t="shared" si="3"/>
        <v>#REF!</v>
      </c>
      <c r="T35" s="49" t="e">
        <f t="shared" si="3"/>
        <v>#REF!</v>
      </c>
      <c r="U35" s="83">
        <v>6570.7</v>
      </c>
      <c r="V35" s="36">
        <v>245436.90000000002</v>
      </c>
      <c r="W35" s="36">
        <v>5070.1</v>
      </c>
      <c r="X35" s="36">
        <v>202478.50000000003</v>
      </c>
      <c r="Y35" s="36">
        <v>0</v>
      </c>
      <c r="Z35" s="36">
        <v>195064.19999999998</v>
      </c>
    </row>
    <row r="36" spans="1:26" s="6" customFormat="1" ht="25.5">
      <c r="A36" s="67"/>
      <c r="B36" s="65"/>
      <c r="C36" s="65" t="s">
        <v>172</v>
      </c>
      <c r="D36" s="98"/>
      <c r="E36" s="99" t="s">
        <v>217</v>
      </c>
      <c r="F36" s="31" t="e">
        <f>F37+#REF!+#REF!+F45+F49</f>
        <v>#REF!</v>
      </c>
      <c r="G36" s="31" t="e">
        <f>G37+#REF!+#REF!+G45+G49</f>
        <v>#REF!</v>
      </c>
      <c r="H36" s="31" t="e">
        <f>H37+#REF!+#REF!+H45+H49</f>
        <v>#REF!</v>
      </c>
      <c r="I36" s="49" t="e">
        <f>I37+#REF!+#REF!+I45+I49</f>
        <v>#REF!</v>
      </c>
      <c r="J36" s="49" t="e">
        <f>J37+#REF!+#REF!+J45+J49</f>
        <v>#REF!</v>
      </c>
      <c r="K36" s="49" t="e">
        <f>K37+#REF!+#REF!+K45+K49</f>
        <v>#REF!</v>
      </c>
      <c r="L36" s="49" t="e">
        <f>L37+#REF!+#REF!+L45+L49</f>
        <v>#REF!</v>
      </c>
      <c r="M36" s="49" t="e">
        <f>M37+#REF!+#REF!+M45+M49</f>
        <v>#REF!</v>
      </c>
      <c r="N36" s="49" t="e">
        <f>N37+#REF!+#REF!+N45+N49</f>
        <v>#REF!</v>
      </c>
      <c r="O36" s="49" t="e">
        <f>O37+#REF!+#REF!+O45+O49</f>
        <v>#REF!</v>
      </c>
      <c r="P36" s="49" t="e">
        <f>P37+#REF!+#REF!+P45+P49</f>
        <v>#REF!</v>
      </c>
      <c r="Q36" s="49" t="e">
        <f>Q37+#REF!+#REF!+Q45+Q49</f>
        <v>#REF!</v>
      </c>
      <c r="R36" s="49" t="e">
        <f>R37+#REF!+#REF!+R45+R49</f>
        <v>#REF!</v>
      </c>
      <c r="S36" s="49" t="e">
        <f>S37+#REF!+#REF!+S45+S49</f>
        <v>#REF!</v>
      </c>
      <c r="T36" s="49" t="e">
        <f>T37+#REF!+#REF!+T45+T49</f>
        <v>#REF!</v>
      </c>
      <c r="U36" s="83">
        <v>6570.7</v>
      </c>
      <c r="V36" s="36">
        <v>245436.90000000002</v>
      </c>
      <c r="W36" s="36">
        <v>5070.1</v>
      </c>
      <c r="X36" s="36">
        <v>202478.50000000003</v>
      </c>
      <c r="Y36" s="36">
        <v>0</v>
      </c>
      <c r="Z36" s="36">
        <v>195064.19999999998</v>
      </c>
    </row>
    <row r="37" spans="1:26" s="3" customFormat="1" ht="25.5">
      <c r="A37" s="67"/>
      <c r="B37" s="65"/>
      <c r="C37" s="65" t="s">
        <v>173</v>
      </c>
      <c r="D37" s="98"/>
      <c r="E37" s="99" t="s">
        <v>144</v>
      </c>
      <c r="F37" s="31" t="e">
        <f aca="true" t="shared" si="4" ref="F37:T37">F38</f>
        <v>#REF!</v>
      </c>
      <c r="G37" s="31" t="e">
        <f t="shared" si="4"/>
        <v>#REF!</v>
      </c>
      <c r="H37" s="31" t="e">
        <f t="shared" si="4"/>
        <v>#REF!</v>
      </c>
      <c r="I37" s="49" t="e">
        <f t="shared" si="4"/>
        <v>#REF!</v>
      </c>
      <c r="J37" s="49" t="e">
        <f t="shared" si="4"/>
        <v>#REF!</v>
      </c>
      <c r="K37" s="49" t="e">
        <f t="shared" si="4"/>
        <v>#REF!</v>
      </c>
      <c r="L37" s="49" t="e">
        <f t="shared" si="4"/>
        <v>#REF!</v>
      </c>
      <c r="M37" s="49" t="e">
        <f t="shared" si="4"/>
        <v>#REF!</v>
      </c>
      <c r="N37" s="49" t="e">
        <f t="shared" si="4"/>
        <v>#REF!</v>
      </c>
      <c r="O37" s="49" t="e">
        <f>O38</f>
        <v>#REF!</v>
      </c>
      <c r="P37" s="49" t="e">
        <f t="shared" si="4"/>
        <v>#REF!</v>
      </c>
      <c r="Q37" s="49" t="e">
        <f t="shared" si="4"/>
        <v>#REF!</v>
      </c>
      <c r="R37" s="49" t="e">
        <f t="shared" si="4"/>
        <v>#REF!</v>
      </c>
      <c r="S37" s="49" t="e">
        <f t="shared" si="4"/>
        <v>#REF!</v>
      </c>
      <c r="T37" s="49" t="e">
        <f t="shared" si="4"/>
        <v>#REF!</v>
      </c>
      <c r="U37" s="36">
        <v>5031.1</v>
      </c>
      <c r="V37" s="36">
        <v>54947.80000000001</v>
      </c>
      <c r="W37" s="36">
        <v>5070.1</v>
      </c>
      <c r="X37" s="36">
        <v>25281.199999999997</v>
      </c>
      <c r="Y37" s="36">
        <v>0</v>
      </c>
      <c r="Z37" s="36">
        <v>22311.9</v>
      </c>
    </row>
    <row r="38" spans="1:26" s="5" customFormat="1" ht="27" customHeight="1">
      <c r="A38" s="67"/>
      <c r="B38" s="65"/>
      <c r="C38" s="65" t="s">
        <v>174</v>
      </c>
      <c r="D38" s="98"/>
      <c r="E38" s="99" t="s">
        <v>6</v>
      </c>
      <c r="F38" s="31" t="e">
        <f>F39+F41+#REF!+#REF!+F43</f>
        <v>#REF!</v>
      </c>
      <c r="G38" s="31" t="e">
        <f>G39+G41+#REF!+#REF!+G43</f>
        <v>#REF!</v>
      </c>
      <c r="H38" s="31" t="e">
        <f>H39+H41+#REF!+#REF!+H43</f>
        <v>#REF!</v>
      </c>
      <c r="I38" s="49" t="e">
        <f>I39+I41+#REF!+#REF!+I43</f>
        <v>#REF!</v>
      </c>
      <c r="J38" s="49" t="e">
        <f>J39+J41+#REF!+#REF!+J43</f>
        <v>#REF!</v>
      </c>
      <c r="K38" s="49" t="e">
        <f>K39+K41+#REF!+#REF!+K43</f>
        <v>#REF!</v>
      </c>
      <c r="L38" s="49" t="e">
        <f>L39+L41+#REF!+#REF!+L43</f>
        <v>#REF!</v>
      </c>
      <c r="M38" s="49" t="e">
        <f>M39+M41+#REF!+#REF!+M43</f>
        <v>#REF!</v>
      </c>
      <c r="N38" s="49" t="e">
        <f>N39+N41+#REF!+#REF!+N43</f>
        <v>#REF!</v>
      </c>
      <c r="O38" s="49" t="e">
        <f>O39+O41+#REF!+#REF!+O43</f>
        <v>#REF!</v>
      </c>
      <c r="P38" s="49" t="e">
        <f>P39+P41+#REF!+#REF!+P43</f>
        <v>#REF!</v>
      </c>
      <c r="Q38" s="49" t="e">
        <f>Q39+Q41+#REF!+#REF!+Q43</f>
        <v>#REF!</v>
      </c>
      <c r="R38" s="49" t="e">
        <f>R39+R41+#REF!+#REF!+R43</f>
        <v>#REF!</v>
      </c>
      <c r="S38" s="49" t="e">
        <f>S39+S41+#REF!+#REF!+S43</f>
        <v>#REF!</v>
      </c>
      <c r="T38" s="49" t="e">
        <f>T39+T41+#REF!+#REF!+T43</f>
        <v>#REF!</v>
      </c>
      <c r="U38" s="36">
        <v>5031.1</v>
      </c>
      <c r="V38" s="36">
        <v>54947.80000000001</v>
      </c>
      <c r="W38" s="36">
        <v>5070.1</v>
      </c>
      <c r="X38" s="36">
        <v>25281.199999999997</v>
      </c>
      <c r="Y38" s="36">
        <v>0</v>
      </c>
      <c r="Z38" s="36">
        <v>22311.9</v>
      </c>
    </row>
    <row r="39" spans="1:26" s="6" customFormat="1" ht="25.5">
      <c r="A39" s="67"/>
      <c r="B39" s="65"/>
      <c r="C39" s="65" t="s">
        <v>100</v>
      </c>
      <c r="D39" s="98"/>
      <c r="E39" s="100" t="s">
        <v>145</v>
      </c>
      <c r="F39" s="31">
        <f aca="true" t="shared" si="5" ref="F39:N39">SUM(F40:F40)</f>
        <v>1972.5</v>
      </c>
      <c r="G39" s="31">
        <f t="shared" si="5"/>
        <v>1172.5</v>
      </c>
      <c r="H39" s="31">
        <f t="shared" si="5"/>
        <v>1172.5</v>
      </c>
      <c r="I39" s="49">
        <f t="shared" si="5"/>
        <v>57.5</v>
      </c>
      <c r="J39" s="49">
        <f t="shared" si="5"/>
        <v>2030</v>
      </c>
      <c r="K39" s="49">
        <f t="shared" si="5"/>
        <v>0</v>
      </c>
      <c r="L39" s="49">
        <f t="shared" si="5"/>
        <v>1172.5</v>
      </c>
      <c r="M39" s="49">
        <f t="shared" si="5"/>
        <v>0</v>
      </c>
      <c r="N39" s="49">
        <f t="shared" si="5"/>
        <v>1172.5</v>
      </c>
      <c r="O39" s="49"/>
      <c r="P39" s="49">
        <f>SUM(P40:P40)</f>
        <v>2030</v>
      </c>
      <c r="Q39" s="49"/>
      <c r="R39" s="49">
        <f>SUM(R40:R40)</f>
        <v>1172.5</v>
      </c>
      <c r="S39" s="49"/>
      <c r="T39" s="49">
        <f>SUM(T40:T40)</f>
        <v>1172.5</v>
      </c>
      <c r="U39" s="36">
        <v>0</v>
      </c>
      <c r="V39" s="36">
        <v>2481.9</v>
      </c>
      <c r="W39" s="36">
        <v>5070.1</v>
      </c>
      <c r="X39" s="36">
        <v>6659.1</v>
      </c>
      <c r="Y39" s="36">
        <v>0</v>
      </c>
      <c r="Z39" s="36">
        <v>1247.5</v>
      </c>
    </row>
    <row r="40" spans="1:26" s="1" customFormat="1" ht="38.25">
      <c r="A40" s="67"/>
      <c r="B40" s="65"/>
      <c r="C40" s="65"/>
      <c r="D40" s="97" t="s">
        <v>27</v>
      </c>
      <c r="E40" s="90" t="s">
        <v>105</v>
      </c>
      <c r="F40" s="51">
        <f>120+1052.5+800</f>
        <v>1972.5</v>
      </c>
      <c r="G40" s="51">
        <f>120+1052.5</f>
        <v>1172.5</v>
      </c>
      <c r="H40" s="51">
        <f>120+1052.5</f>
        <v>1172.5</v>
      </c>
      <c r="I40" s="49">
        <f>57.5</f>
        <v>57.5</v>
      </c>
      <c r="J40" s="49">
        <f>F40+I40</f>
        <v>2030</v>
      </c>
      <c r="K40" s="49">
        <v>0</v>
      </c>
      <c r="L40" s="49">
        <f>G40+K40</f>
        <v>1172.5</v>
      </c>
      <c r="M40" s="49">
        <v>0</v>
      </c>
      <c r="N40" s="49">
        <f>H40+M40</f>
        <v>1172.5</v>
      </c>
      <c r="O40" s="49"/>
      <c r="P40" s="49">
        <f>J40+O40</f>
        <v>2030</v>
      </c>
      <c r="Q40" s="49"/>
      <c r="R40" s="49">
        <f>L40+Q40</f>
        <v>1172.5</v>
      </c>
      <c r="S40" s="49"/>
      <c r="T40" s="49">
        <f>N40+S40</f>
        <v>1172.5</v>
      </c>
      <c r="U40" s="36">
        <v>0</v>
      </c>
      <c r="V40" s="36">
        <v>2030</v>
      </c>
      <c r="W40" s="36">
        <v>5070.1</v>
      </c>
      <c r="X40" s="36">
        <v>6242.6</v>
      </c>
      <c r="Y40" s="36">
        <v>0</v>
      </c>
      <c r="Z40" s="36">
        <v>1172.5</v>
      </c>
    </row>
    <row r="41" spans="1:26" s="6" customFormat="1" ht="39.75" customHeight="1">
      <c r="A41" s="67"/>
      <c r="B41" s="65"/>
      <c r="C41" s="65" t="s">
        <v>101</v>
      </c>
      <c r="D41" s="98"/>
      <c r="E41" s="100" t="s">
        <v>146</v>
      </c>
      <c r="F41" s="31">
        <f aca="true" t="shared" si="6" ref="F41:T41">F42</f>
        <v>33122.4</v>
      </c>
      <c r="G41" s="31">
        <f t="shared" si="6"/>
        <v>17660</v>
      </c>
      <c r="H41" s="31">
        <f t="shared" si="6"/>
        <v>20105.2</v>
      </c>
      <c r="I41" s="49">
        <f t="shared" si="6"/>
        <v>1039.3</v>
      </c>
      <c r="J41" s="49">
        <f t="shared" si="6"/>
        <v>34161.700000000004</v>
      </c>
      <c r="K41" s="49">
        <f t="shared" si="6"/>
        <v>0</v>
      </c>
      <c r="L41" s="49">
        <f t="shared" si="6"/>
        <v>17660</v>
      </c>
      <c r="M41" s="49">
        <f t="shared" si="6"/>
        <v>0</v>
      </c>
      <c r="N41" s="49">
        <f t="shared" si="6"/>
        <v>20105.2</v>
      </c>
      <c r="O41" s="49">
        <f t="shared" si="6"/>
        <v>8697.7</v>
      </c>
      <c r="P41" s="49">
        <f t="shared" si="6"/>
        <v>42859.40000000001</v>
      </c>
      <c r="Q41" s="49">
        <f t="shared" si="6"/>
        <v>0</v>
      </c>
      <c r="R41" s="49">
        <f t="shared" si="6"/>
        <v>17660</v>
      </c>
      <c r="S41" s="49">
        <f t="shared" si="6"/>
        <v>0</v>
      </c>
      <c r="T41" s="49">
        <f t="shared" si="6"/>
        <v>20105.2</v>
      </c>
      <c r="U41" s="36">
        <v>1596</v>
      </c>
      <c r="V41" s="36">
        <v>44455.40000000001</v>
      </c>
      <c r="W41" s="36">
        <v>0</v>
      </c>
      <c r="X41" s="36">
        <v>17660</v>
      </c>
      <c r="Y41" s="36">
        <v>0</v>
      </c>
      <c r="Z41" s="36">
        <v>20105.2</v>
      </c>
    </row>
    <row r="42" spans="1:26" s="1" customFormat="1" ht="38.25">
      <c r="A42" s="67"/>
      <c r="B42" s="65"/>
      <c r="C42" s="65"/>
      <c r="D42" s="97" t="s">
        <v>27</v>
      </c>
      <c r="E42" s="90" t="s">
        <v>105</v>
      </c>
      <c r="F42" s="51">
        <v>33122.4</v>
      </c>
      <c r="G42" s="51">
        <f>30175.2-5000-5000-2515.2</f>
        <v>17660</v>
      </c>
      <c r="H42" s="51">
        <f>30105.2-5000-5000</f>
        <v>20105.2</v>
      </c>
      <c r="I42" s="49">
        <f>761.8+277.5</f>
        <v>1039.3</v>
      </c>
      <c r="J42" s="49">
        <f>F42+I42</f>
        <v>34161.700000000004</v>
      </c>
      <c r="K42" s="49">
        <v>0</v>
      </c>
      <c r="L42" s="49">
        <f>G42+K42</f>
        <v>17660</v>
      </c>
      <c r="M42" s="49">
        <v>0</v>
      </c>
      <c r="N42" s="49">
        <f>H42+M42</f>
        <v>20105.2</v>
      </c>
      <c r="O42" s="49">
        <v>8697.7</v>
      </c>
      <c r="P42" s="49">
        <f>J42+O42</f>
        <v>42859.40000000001</v>
      </c>
      <c r="Q42" s="49">
        <v>0</v>
      </c>
      <c r="R42" s="49">
        <f>L42+Q42</f>
        <v>17660</v>
      </c>
      <c r="S42" s="49">
        <v>0</v>
      </c>
      <c r="T42" s="49">
        <f>N42+S42</f>
        <v>20105.2</v>
      </c>
      <c r="U42" s="36">
        <v>1596</v>
      </c>
      <c r="V42" s="36">
        <v>44455.40000000001</v>
      </c>
      <c r="W42" s="36">
        <v>0</v>
      </c>
      <c r="X42" s="36">
        <v>17660</v>
      </c>
      <c r="Y42" s="36">
        <v>0</v>
      </c>
      <c r="Z42" s="36">
        <v>20105.2</v>
      </c>
    </row>
    <row r="43" spans="1:26" s="24" customFormat="1" ht="25.5">
      <c r="A43" s="67"/>
      <c r="B43" s="65"/>
      <c r="C43" s="65" t="s">
        <v>239</v>
      </c>
      <c r="D43" s="97"/>
      <c r="E43" s="90" t="s">
        <v>240</v>
      </c>
      <c r="F43" s="51"/>
      <c r="G43" s="51"/>
      <c r="H43" s="51"/>
      <c r="I43" s="49"/>
      <c r="J43" s="49"/>
      <c r="K43" s="49"/>
      <c r="L43" s="49"/>
      <c r="M43" s="49"/>
      <c r="N43" s="49"/>
      <c r="O43" s="49"/>
      <c r="P43" s="49">
        <f>P44</f>
        <v>0</v>
      </c>
      <c r="Q43" s="49"/>
      <c r="R43" s="49">
        <f>R44</f>
        <v>0</v>
      </c>
      <c r="S43" s="49"/>
      <c r="T43" s="49">
        <f>T44</f>
        <v>0</v>
      </c>
      <c r="U43" s="36">
        <v>3435.1</v>
      </c>
      <c r="V43" s="36">
        <v>3435.1</v>
      </c>
      <c r="W43" s="36">
        <v>0</v>
      </c>
      <c r="X43" s="36">
        <v>0</v>
      </c>
      <c r="Y43" s="36">
        <v>0</v>
      </c>
      <c r="Z43" s="36">
        <v>0</v>
      </c>
    </row>
    <row r="44" spans="1:26" s="24" customFormat="1" ht="38.25">
      <c r="A44" s="67"/>
      <c r="B44" s="65"/>
      <c r="C44" s="65"/>
      <c r="D44" s="97" t="s">
        <v>27</v>
      </c>
      <c r="E44" s="90" t="s">
        <v>105</v>
      </c>
      <c r="F44" s="51"/>
      <c r="G44" s="51"/>
      <c r="H44" s="51"/>
      <c r="I44" s="49"/>
      <c r="J44" s="49"/>
      <c r="K44" s="49"/>
      <c r="L44" s="49"/>
      <c r="M44" s="49"/>
      <c r="N44" s="49"/>
      <c r="O44" s="49"/>
      <c r="P44" s="49">
        <f>J44+O44</f>
        <v>0</v>
      </c>
      <c r="Q44" s="49"/>
      <c r="R44" s="49">
        <f>L44+Q44</f>
        <v>0</v>
      </c>
      <c r="S44" s="49"/>
      <c r="T44" s="49">
        <f>N44+S44</f>
        <v>0</v>
      </c>
      <c r="U44" s="36">
        <v>3435.1</v>
      </c>
      <c r="V44" s="36">
        <v>3435.1</v>
      </c>
      <c r="W44" s="36">
        <v>0</v>
      </c>
      <c r="X44" s="36">
        <v>0</v>
      </c>
      <c r="Y44" s="36">
        <v>0</v>
      </c>
      <c r="Z44" s="36">
        <v>0</v>
      </c>
    </row>
    <row r="45" spans="1:26" s="3" customFormat="1" ht="63.75">
      <c r="A45" s="67"/>
      <c r="B45" s="65"/>
      <c r="C45" s="65" t="s">
        <v>178</v>
      </c>
      <c r="D45" s="98"/>
      <c r="E45" s="99" t="s">
        <v>148</v>
      </c>
      <c r="F45" s="31" t="e">
        <f aca="true" t="shared" si="7" ref="F45:T46">F46</f>
        <v>#REF!</v>
      </c>
      <c r="G45" s="31" t="e">
        <f t="shared" si="7"/>
        <v>#REF!</v>
      </c>
      <c r="H45" s="31" t="e">
        <f t="shared" si="7"/>
        <v>#REF!</v>
      </c>
      <c r="I45" s="49" t="e">
        <f t="shared" si="7"/>
        <v>#REF!</v>
      </c>
      <c r="J45" s="49" t="e">
        <f t="shared" si="7"/>
        <v>#REF!</v>
      </c>
      <c r="K45" s="49" t="e">
        <f t="shared" si="7"/>
        <v>#REF!</v>
      </c>
      <c r="L45" s="49" t="e">
        <f t="shared" si="7"/>
        <v>#REF!</v>
      </c>
      <c r="M45" s="49" t="e">
        <f t="shared" si="7"/>
        <v>#REF!</v>
      </c>
      <c r="N45" s="49" t="e">
        <f t="shared" si="7"/>
        <v>#REF!</v>
      </c>
      <c r="O45" s="49" t="e">
        <f t="shared" si="7"/>
        <v>#REF!</v>
      </c>
      <c r="P45" s="49" t="e">
        <f t="shared" si="7"/>
        <v>#REF!</v>
      </c>
      <c r="Q45" s="49" t="e">
        <f t="shared" si="7"/>
        <v>#REF!</v>
      </c>
      <c r="R45" s="49" t="e">
        <f t="shared" si="7"/>
        <v>#REF!</v>
      </c>
      <c r="S45" s="49" t="e">
        <f t="shared" si="7"/>
        <v>#REF!</v>
      </c>
      <c r="T45" s="49" t="e">
        <f t="shared" si="7"/>
        <v>#REF!</v>
      </c>
      <c r="U45" s="36">
        <v>1630.9</v>
      </c>
      <c r="V45" s="36">
        <v>132200.2</v>
      </c>
      <c r="W45" s="36">
        <v>0</v>
      </c>
      <c r="X45" s="36">
        <v>125758.20000000001</v>
      </c>
      <c r="Y45" s="36">
        <v>0</v>
      </c>
      <c r="Z45" s="36">
        <v>123233.9</v>
      </c>
    </row>
    <row r="46" spans="1:26" s="5" customFormat="1" ht="26.25" customHeight="1">
      <c r="A46" s="67"/>
      <c r="B46" s="65"/>
      <c r="C46" s="65" t="s">
        <v>179</v>
      </c>
      <c r="D46" s="98"/>
      <c r="E46" s="99" t="s">
        <v>180</v>
      </c>
      <c r="F46" s="31" t="e">
        <f t="shared" si="7"/>
        <v>#REF!</v>
      </c>
      <c r="G46" s="31" t="e">
        <f t="shared" si="7"/>
        <v>#REF!</v>
      </c>
      <c r="H46" s="31" t="e">
        <f t="shared" si="7"/>
        <v>#REF!</v>
      </c>
      <c r="I46" s="49" t="e">
        <f t="shared" si="7"/>
        <v>#REF!</v>
      </c>
      <c r="J46" s="49" t="e">
        <f t="shared" si="7"/>
        <v>#REF!</v>
      </c>
      <c r="K46" s="49" t="e">
        <f t="shared" si="7"/>
        <v>#REF!</v>
      </c>
      <c r="L46" s="49" t="e">
        <f t="shared" si="7"/>
        <v>#REF!</v>
      </c>
      <c r="M46" s="49" t="e">
        <f t="shared" si="7"/>
        <v>#REF!</v>
      </c>
      <c r="N46" s="49" t="e">
        <f t="shared" si="7"/>
        <v>#REF!</v>
      </c>
      <c r="O46" s="49" t="e">
        <f t="shared" si="7"/>
        <v>#REF!</v>
      </c>
      <c r="P46" s="49" t="e">
        <f t="shared" si="7"/>
        <v>#REF!</v>
      </c>
      <c r="Q46" s="49" t="e">
        <f t="shared" si="7"/>
        <v>#REF!</v>
      </c>
      <c r="R46" s="49" t="e">
        <f t="shared" si="7"/>
        <v>#REF!</v>
      </c>
      <c r="S46" s="49" t="e">
        <f t="shared" si="7"/>
        <v>#REF!</v>
      </c>
      <c r="T46" s="49" t="e">
        <f t="shared" si="7"/>
        <v>#REF!</v>
      </c>
      <c r="U46" s="36">
        <v>1630.9</v>
      </c>
      <c r="V46" s="36">
        <v>132200.2</v>
      </c>
      <c r="W46" s="36">
        <v>0</v>
      </c>
      <c r="X46" s="36">
        <v>125758.20000000001</v>
      </c>
      <c r="Y46" s="36">
        <v>0</v>
      </c>
      <c r="Z46" s="36">
        <v>123233.9</v>
      </c>
    </row>
    <row r="47" spans="1:26" s="6" customFormat="1" ht="15">
      <c r="A47" s="67"/>
      <c r="B47" s="65"/>
      <c r="C47" s="65" t="s">
        <v>102</v>
      </c>
      <c r="D47" s="98"/>
      <c r="E47" s="100" t="s">
        <v>181</v>
      </c>
      <c r="F47" s="31" t="e">
        <f>#REF!+F48+#REF!</f>
        <v>#REF!</v>
      </c>
      <c r="G47" s="31" t="e">
        <f>#REF!+G48+#REF!</f>
        <v>#REF!</v>
      </c>
      <c r="H47" s="31" t="e">
        <f>#REF!+H48+#REF!</f>
        <v>#REF!</v>
      </c>
      <c r="I47" s="49" t="e">
        <f>#REF!+I48+#REF!</f>
        <v>#REF!</v>
      </c>
      <c r="J47" s="49" t="e">
        <f>#REF!+J48+#REF!</f>
        <v>#REF!</v>
      </c>
      <c r="K47" s="49" t="e">
        <f>#REF!+K48+#REF!</f>
        <v>#REF!</v>
      </c>
      <c r="L47" s="49" t="e">
        <f>#REF!+L48+#REF!</f>
        <v>#REF!</v>
      </c>
      <c r="M47" s="49" t="e">
        <f>#REF!+M48+#REF!</f>
        <v>#REF!</v>
      </c>
      <c r="N47" s="49" t="e">
        <f>#REF!+N48+#REF!</f>
        <v>#REF!</v>
      </c>
      <c r="O47" s="49" t="e">
        <f>#REF!+O48+#REF!</f>
        <v>#REF!</v>
      </c>
      <c r="P47" s="49" t="e">
        <f>#REF!+P48+#REF!</f>
        <v>#REF!</v>
      </c>
      <c r="Q47" s="49" t="e">
        <f>#REF!+Q48+#REF!</f>
        <v>#REF!</v>
      </c>
      <c r="R47" s="49" t="e">
        <f>#REF!+R48+#REF!</f>
        <v>#REF!</v>
      </c>
      <c r="S47" s="49" t="e">
        <f>#REF!+S48+#REF!</f>
        <v>#REF!</v>
      </c>
      <c r="T47" s="49" t="e">
        <f>#REF!+T48+#REF!</f>
        <v>#REF!</v>
      </c>
      <c r="U47" s="36">
        <v>1630.9</v>
      </c>
      <c r="V47" s="36">
        <v>132200.2</v>
      </c>
      <c r="W47" s="36">
        <v>0</v>
      </c>
      <c r="X47" s="36">
        <v>125758.20000000001</v>
      </c>
      <c r="Y47" s="36">
        <v>0</v>
      </c>
      <c r="Z47" s="36">
        <v>123233.9</v>
      </c>
    </row>
    <row r="48" spans="1:26" s="1" customFormat="1" ht="38.25">
      <c r="A48" s="67"/>
      <c r="B48" s="65"/>
      <c r="C48" s="65"/>
      <c r="D48" s="97" t="s">
        <v>27</v>
      </c>
      <c r="E48" s="90" t="s">
        <v>105</v>
      </c>
      <c r="F48" s="51">
        <f>32258.2+2927.6</f>
        <v>35185.8</v>
      </c>
      <c r="G48" s="51">
        <v>31711.4</v>
      </c>
      <c r="H48" s="51">
        <v>31711.4</v>
      </c>
      <c r="I48" s="49">
        <f>806.1+352.1+94</f>
        <v>1252.2</v>
      </c>
      <c r="J48" s="49">
        <f>F48+I48</f>
        <v>36438</v>
      </c>
      <c r="K48" s="49">
        <v>0</v>
      </c>
      <c r="L48" s="49">
        <f>G48+K48</f>
        <v>31711.4</v>
      </c>
      <c r="M48" s="49">
        <v>0</v>
      </c>
      <c r="N48" s="49">
        <f>H48+M48</f>
        <v>31711.4</v>
      </c>
      <c r="O48" s="49">
        <f>2608.8+783.3-783.3</f>
        <v>2608.8</v>
      </c>
      <c r="P48" s="49">
        <f>J48+O48</f>
        <v>39046.8</v>
      </c>
      <c r="Q48" s="49">
        <v>2524.3</v>
      </c>
      <c r="R48" s="49">
        <f>L48+Q48</f>
        <v>34235.700000000004</v>
      </c>
      <c r="S48" s="49">
        <v>0</v>
      </c>
      <c r="T48" s="49">
        <f>N48+S48</f>
        <v>31711.4</v>
      </c>
      <c r="U48" s="36">
        <v>1630.9</v>
      </c>
      <c r="V48" s="36">
        <v>40677.700000000004</v>
      </c>
      <c r="W48" s="36">
        <v>0</v>
      </c>
      <c r="X48" s="36">
        <v>34235.700000000004</v>
      </c>
      <c r="Y48" s="36"/>
      <c r="Z48" s="36">
        <v>31711.4</v>
      </c>
    </row>
    <row r="49" spans="1:26" s="3" customFormat="1" ht="38.25">
      <c r="A49" s="67"/>
      <c r="B49" s="65"/>
      <c r="C49" s="65" t="s">
        <v>182</v>
      </c>
      <c r="D49" s="98"/>
      <c r="E49" s="99" t="s">
        <v>149</v>
      </c>
      <c r="F49" s="31" t="e">
        <f>F50+#REF!</f>
        <v>#REF!</v>
      </c>
      <c r="G49" s="31" t="e">
        <f>G50+#REF!</f>
        <v>#REF!</v>
      </c>
      <c r="H49" s="31" t="e">
        <f>H50+#REF!</f>
        <v>#REF!</v>
      </c>
      <c r="I49" s="49" t="e">
        <f>I50+#REF!</f>
        <v>#REF!</v>
      </c>
      <c r="J49" s="49" t="e">
        <f>J50+#REF!</f>
        <v>#REF!</v>
      </c>
      <c r="K49" s="49" t="e">
        <f>K50+#REF!</f>
        <v>#REF!</v>
      </c>
      <c r="L49" s="49" t="e">
        <f>L50+#REF!</f>
        <v>#REF!</v>
      </c>
      <c r="M49" s="49" t="e">
        <f>M50+#REF!</f>
        <v>#REF!</v>
      </c>
      <c r="N49" s="49" t="e">
        <f>N50+#REF!</f>
        <v>#REF!</v>
      </c>
      <c r="O49" s="49" t="e">
        <f>O50+#REF!</f>
        <v>#REF!</v>
      </c>
      <c r="P49" s="49" t="e">
        <f>P50+#REF!</f>
        <v>#REF!</v>
      </c>
      <c r="Q49" s="49" t="e">
        <f>Q50+#REF!</f>
        <v>#REF!</v>
      </c>
      <c r="R49" s="49" t="e">
        <f>R50+#REF!</f>
        <v>#REF!</v>
      </c>
      <c r="S49" s="49" t="e">
        <f>S50+#REF!</f>
        <v>#REF!</v>
      </c>
      <c r="T49" s="49" t="e">
        <f>T50+#REF!</f>
        <v>#REF!</v>
      </c>
      <c r="U49" s="83">
        <v>-91.30000000000001</v>
      </c>
      <c r="V49" s="36">
        <v>34979.299999999996</v>
      </c>
      <c r="W49" s="36">
        <v>0</v>
      </c>
      <c r="X49" s="36">
        <v>33445.6</v>
      </c>
      <c r="Y49" s="36">
        <v>0</v>
      </c>
      <c r="Z49" s="36">
        <v>33445.6</v>
      </c>
    </row>
    <row r="50" spans="1:26" s="5" customFormat="1" ht="26.25" customHeight="1">
      <c r="A50" s="67"/>
      <c r="B50" s="65"/>
      <c r="C50" s="65" t="s">
        <v>183</v>
      </c>
      <c r="D50" s="98"/>
      <c r="E50" s="99" t="s">
        <v>184</v>
      </c>
      <c r="F50" s="31" t="e">
        <f aca="true" t="shared" si="8" ref="F50:T50">F51</f>
        <v>#REF!</v>
      </c>
      <c r="G50" s="31" t="e">
        <f t="shared" si="8"/>
        <v>#REF!</v>
      </c>
      <c r="H50" s="31" t="e">
        <f t="shared" si="8"/>
        <v>#REF!</v>
      </c>
      <c r="I50" s="49" t="e">
        <f t="shared" si="8"/>
        <v>#REF!</v>
      </c>
      <c r="J50" s="49" t="e">
        <f t="shared" si="8"/>
        <v>#REF!</v>
      </c>
      <c r="K50" s="49" t="e">
        <f t="shared" si="8"/>
        <v>#REF!</v>
      </c>
      <c r="L50" s="49" t="e">
        <f t="shared" si="8"/>
        <v>#REF!</v>
      </c>
      <c r="M50" s="49" t="e">
        <f t="shared" si="8"/>
        <v>#REF!</v>
      </c>
      <c r="N50" s="49" t="e">
        <f t="shared" si="8"/>
        <v>#REF!</v>
      </c>
      <c r="O50" s="49"/>
      <c r="P50" s="49" t="e">
        <f t="shared" si="8"/>
        <v>#REF!</v>
      </c>
      <c r="Q50" s="49"/>
      <c r="R50" s="49" t="e">
        <f t="shared" si="8"/>
        <v>#REF!</v>
      </c>
      <c r="S50" s="49"/>
      <c r="T50" s="49" t="e">
        <f t="shared" si="8"/>
        <v>#REF!</v>
      </c>
      <c r="U50" s="83">
        <v>-91.30000000000001</v>
      </c>
      <c r="V50" s="36">
        <v>34579.1</v>
      </c>
      <c r="W50" s="36">
        <v>0</v>
      </c>
      <c r="X50" s="36">
        <v>33188.6</v>
      </c>
      <c r="Y50" s="36">
        <v>0</v>
      </c>
      <c r="Z50" s="36">
        <v>33188.6</v>
      </c>
    </row>
    <row r="51" spans="1:26" s="6" customFormat="1" ht="25.5">
      <c r="A51" s="67"/>
      <c r="B51" s="65"/>
      <c r="C51" s="65" t="s">
        <v>103</v>
      </c>
      <c r="D51" s="98"/>
      <c r="E51" s="100" t="s">
        <v>185</v>
      </c>
      <c r="F51" s="31" t="e">
        <f>F52+#REF!</f>
        <v>#REF!</v>
      </c>
      <c r="G51" s="31" t="e">
        <f>G52+#REF!</f>
        <v>#REF!</v>
      </c>
      <c r="H51" s="31" t="e">
        <f>H52+#REF!</f>
        <v>#REF!</v>
      </c>
      <c r="I51" s="49" t="e">
        <f>I52+#REF!</f>
        <v>#REF!</v>
      </c>
      <c r="J51" s="49" t="e">
        <f>J52+#REF!</f>
        <v>#REF!</v>
      </c>
      <c r="K51" s="49" t="e">
        <f>K52+#REF!</f>
        <v>#REF!</v>
      </c>
      <c r="L51" s="49" t="e">
        <f>L52+#REF!</f>
        <v>#REF!</v>
      </c>
      <c r="M51" s="49" t="e">
        <f>M52+#REF!</f>
        <v>#REF!</v>
      </c>
      <c r="N51" s="49" t="e">
        <f>N52+#REF!</f>
        <v>#REF!</v>
      </c>
      <c r="O51" s="49"/>
      <c r="P51" s="49" t="e">
        <f>P52+#REF!</f>
        <v>#REF!</v>
      </c>
      <c r="Q51" s="49"/>
      <c r="R51" s="49" t="e">
        <f>R52+#REF!</f>
        <v>#REF!</v>
      </c>
      <c r="S51" s="49"/>
      <c r="T51" s="49" t="e">
        <f>T52+#REF!</f>
        <v>#REF!</v>
      </c>
      <c r="U51" s="83">
        <v>-91.30000000000001</v>
      </c>
      <c r="V51" s="36">
        <v>34579.1</v>
      </c>
      <c r="W51" s="36">
        <v>0</v>
      </c>
      <c r="X51" s="36">
        <v>33188.6</v>
      </c>
      <c r="Y51" s="36">
        <v>0</v>
      </c>
      <c r="Z51" s="36">
        <v>33188.6</v>
      </c>
    </row>
    <row r="52" spans="1:26" s="1" customFormat="1" ht="78" customHeight="1">
      <c r="A52" s="67"/>
      <c r="B52" s="65"/>
      <c r="C52" s="65"/>
      <c r="D52" s="97" t="s">
        <v>26</v>
      </c>
      <c r="E52" s="81" t="s">
        <v>169</v>
      </c>
      <c r="F52" s="51">
        <f>23186.9+1608.6+13.5+143+1.4+7426.4</f>
        <v>32379.800000000003</v>
      </c>
      <c r="G52" s="51">
        <f>23186.9+1608.6+13.5+143+7426.4</f>
        <v>32378.4</v>
      </c>
      <c r="H52" s="51">
        <f>23186.9+1608.6+13.5+143+7426.4</f>
        <v>32378.4</v>
      </c>
      <c r="I52" s="49">
        <v>1357.2</v>
      </c>
      <c r="J52" s="49">
        <f>F52+I52</f>
        <v>33737</v>
      </c>
      <c r="K52" s="49">
        <v>0</v>
      </c>
      <c r="L52" s="49">
        <f>G52+K52</f>
        <v>32378.4</v>
      </c>
      <c r="M52" s="49">
        <v>0</v>
      </c>
      <c r="N52" s="49">
        <f>H52+M52</f>
        <v>32378.4</v>
      </c>
      <c r="O52" s="49"/>
      <c r="P52" s="49">
        <f>J52+O52</f>
        <v>33737</v>
      </c>
      <c r="Q52" s="49"/>
      <c r="R52" s="49">
        <f>L52+Q52</f>
        <v>32378.4</v>
      </c>
      <c r="S52" s="49"/>
      <c r="T52" s="49">
        <f>N52+S52</f>
        <v>32378.4</v>
      </c>
      <c r="U52" s="83">
        <v>-91.30000000000001</v>
      </c>
      <c r="V52" s="36">
        <v>33645.7</v>
      </c>
      <c r="W52" s="36">
        <v>0</v>
      </c>
      <c r="X52" s="36">
        <v>32378.4</v>
      </c>
      <c r="Y52" s="36">
        <v>0</v>
      </c>
      <c r="Z52" s="36">
        <v>32378.4</v>
      </c>
    </row>
    <row r="53" spans="1:26" s="1" customFormat="1" ht="15">
      <c r="A53" s="67"/>
      <c r="B53" s="65" t="s">
        <v>71</v>
      </c>
      <c r="C53" s="65"/>
      <c r="D53" s="97"/>
      <c r="E53" s="90" t="s">
        <v>72</v>
      </c>
      <c r="F53" s="51" t="e">
        <f>F54+#REF!</f>
        <v>#REF!</v>
      </c>
      <c r="G53" s="51" t="e">
        <f>G54+#REF!</f>
        <v>#REF!</v>
      </c>
      <c r="H53" s="51" t="e">
        <f>H54+#REF!</f>
        <v>#REF!</v>
      </c>
      <c r="I53" s="49" t="e">
        <f>I54+#REF!</f>
        <v>#REF!</v>
      </c>
      <c r="J53" s="49" t="e">
        <f>J54+#REF!</f>
        <v>#REF!</v>
      </c>
      <c r="K53" s="49" t="e">
        <f>K54+#REF!</f>
        <v>#REF!</v>
      </c>
      <c r="L53" s="49" t="e">
        <f>L54+#REF!</f>
        <v>#REF!</v>
      </c>
      <c r="M53" s="49" t="e">
        <f>M54+#REF!</f>
        <v>#REF!</v>
      </c>
      <c r="N53" s="49" t="e">
        <f>N54+#REF!</f>
        <v>#REF!</v>
      </c>
      <c r="O53" s="49" t="e">
        <f>O54+#REF!</f>
        <v>#REF!</v>
      </c>
      <c r="P53" s="49" t="e">
        <f>P54+#REF!</f>
        <v>#REF!</v>
      </c>
      <c r="Q53" s="52" t="e">
        <f>Q54+#REF!</f>
        <v>#REF!</v>
      </c>
      <c r="R53" s="49" t="e">
        <f>R54+#REF!</f>
        <v>#REF!</v>
      </c>
      <c r="S53" s="49" t="e">
        <f>S54+#REF!</f>
        <v>#REF!</v>
      </c>
      <c r="T53" s="49" t="e">
        <f>T54+#REF!</f>
        <v>#REF!</v>
      </c>
      <c r="U53" s="36">
        <v>0</v>
      </c>
      <c r="V53" s="36">
        <v>117401.9</v>
      </c>
      <c r="W53" s="36">
        <v>0</v>
      </c>
      <c r="X53" s="36">
        <v>28090.400000000005</v>
      </c>
      <c r="Y53" s="36">
        <v>126813.1</v>
      </c>
      <c r="Z53" s="36">
        <v>127732.8</v>
      </c>
    </row>
    <row r="54" spans="1:26" s="1" customFormat="1" ht="15">
      <c r="A54" s="67"/>
      <c r="B54" s="65" t="s">
        <v>73</v>
      </c>
      <c r="C54" s="65"/>
      <c r="D54" s="97"/>
      <c r="E54" s="90" t="s">
        <v>74</v>
      </c>
      <c r="F54" s="51" t="e">
        <f aca="true" t="shared" si="9" ref="F54:T56">F55</f>
        <v>#REF!</v>
      </c>
      <c r="G54" s="51" t="e">
        <f t="shared" si="9"/>
        <v>#REF!</v>
      </c>
      <c r="H54" s="51" t="e">
        <f t="shared" si="9"/>
        <v>#REF!</v>
      </c>
      <c r="I54" s="49" t="e">
        <f t="shared" si="9"/>
        <v>#REF!</v>
      </c>
      <c r="J54" s="49" t="e">
        <f t="shared" si="9"/>
        <v>#REF!</v>
      </c>
      <c r="K54" s="49" t="e">
        <f t="shared" si="9"/>
        <v>#REF!</v>
      </c>
      <c r="L54" s="49" t="e">
        <f t="shared" si="9"/>
        <v>#REF!</v>
      </c>
      <c r="M54" s="49" t="e">
        <f t="shared" si="9"/>
        <v>#REF!</v>
      </c>
      <c r="N54" s="49" t="e">
        <f t="shared" si="9"/>
        <v>#REF!</v>
      </c>
      <c r="O54" s="49" t="e">
        <f>O55</f>
        <v>#REF!</v>
      </c>
      <c r="P54" s="49" t="e">
        <f t="shared" si="9"/>
        <v>#REF!</v>
      </c>
      <c r="Q54" s="52" t="e">
        <f t="shared" si="9"/>
        <v>#REF!</v>
      </c>
      <c r="R54" s="49" t="e">
        <f t="shared" si="9"/>
        <v>#REF!</v>
      </c>
      <c r="S54" s="49" t="e">
        <f t="shared" si="9"/>
        <v>#REF!</v>
      </c>
      <c r="T54" s="49" t="e">
        <f t="shared" si="9"/>
        <v>#REF!</v>
      </c>
      <c r="U54" s="36">
        <v>0</v>
      </c>
      <c r="V54" s="36">
        <v>2068.2</v>
      </c>
      <c r="W54" s="36">
        <v>0</v>
      </c>
      <c r="X54" s="36">
        <v>24990.400000000005</v>
      </c>
      <c r="Y54" s="36">
        <v>126813.1</v>
      </c>
      <c r="Z54" s="36">
        <v>126832.8</v>
      </c>
    </row>
    <row r="55" spans="1:26" s="1" customFormat="1" ht="25.5">
      <c r="A55" s="67"/>
      <c r="B55" s="65"/>
      <c r="C55" s="65" t="s">
        <v>172</v>
      </c>
      <c r="D55" s="97"/>
      <c r="E55" s="90" t="s">
        <v>217</v>
      </c>
      <c r="F55" s="51" t="e">
        <f t="shared" si="9"/>
        <v>#REF!</v>
      </c>
      <c r="G55" s="51" t="e">
        <f t="shared" si="9"/>
        <v>#REF!</v>
      </c>
      <c r="H55" s="51" t="e">
        <f t="shared" si="9"/>
        <v>#REF!</v>
      </c>
      <c r="I55" s="49" t="e">
        <f t="shared" si="9"/>
        <v>#REF!</v>
      </c>
      <c r="J55" s="49" t="e">
        <f t="shared" si="9"/>
        <v>#REF!</v>
      </c>
      <c r="K55" s="49" t="e">
        <f t="shared" si="9"/>
        <v>#REF!</v>
      </c>
      <c r="L55" s="49" t="e">
        <f t="shared" si="9"/>
        <v>#REF!</v>
      </c>
      <c r="M55" s="49" t="e">
        <f t="shared" si="9"/>
        <v>#REF!</v>
      </c>
      <c r="N55" s="49" t="e">
        <f t="shared" si="9"/>
        <v>#REF!</v>
      </c>
      <c r="O55" s="49" t="e">
        <f t="shared" si="9"/>
        <v>#REF!</v>
      </c>
      <c r="P55" s="49" t="e">
        <f t="shared" si="9"/>
        <v>#REF!</v>
      </c>
      <c r="Q55" s="52" t="e">
        <f t="shared" si="9"/>
        <v>#REF!</v>
      </c>
      <c r="R55" s="49" t="e">
        <f t="shared" si="9"/>
        <v>#REF!</v>
      </c>
      <c r="S55" s="49" t="e">
        <f t="shared" si="9"/>
        <v>#REF!</v>
      </c>
      <c r="T55" s="49" t="e">
        <f t="shared" si="9"/>
        <v>#REF!</v>
      </c>
      <c r="U55" s="36">
        <v>0</v>
      </c>
      <c r="V55" s="36">
        <v>2068.2</v>
      </c>
      <c r="W55" s="36">
        <v>0</v>
      </c>
      <c r="X55" s="36">
        <v>24990.400000000005</v>
      </c>
      <c r="Y55" s="36">
        <v>126813.1</v>
      </c>
      <c r="Z55" s="36">
        <v>126832.8</v>
      </c>
    </row>
    <row r="56" spans="1:26" s="1" customFormat="1" ht="25.5">
      <c r="A56" s="67"/>
      <c r="B56" s="65"/>
      <c r="C56" s="65" t="s">
        <v>175</v>
      </c>
      <c r="D56" s="97"/>
      <c r="E56" s="90" t="s">
        <v>147</v>
      </c>
      <c r="F56" s="51" t="e">
        <f t="shared" si="9"/>
        <v>#REF!</v>
      </c>
      <c r="G56" s="51" t="e">
        <f t="shared" si="9"/>
        <v>#REF!</v>
      </c>
      <c r="H56" s="51" t="e">
        <f t="shared" si="9"/>
        <v>#REF!</v>
      </c>
      <c r="I56" s="49" t="e">
        <f t="shared" si="9"/>
        <v>#REF!</v>
      </c>
      <c r="J56" s="49" t="e">
        <f t="shared" si="9"/>
        <v>#REF!</v>
      </c>
      <c r="K56" s="49" t="e">
        <f t="shared" si="9"/>
        <v>#REF!</v>
      </c>
      <c r="L56" s="49" t="e">
        <f t="shared" si="9"/>
        <v>#REF!</v>
      </c>
      <c r="M56" s="49" t="e">
        <f t="shared" si="9"/>
        <v>#REF!</v>
      </c>
      <c r="N56" s="49" t="e">
        <f t="shared" si="9"/>
        <v>#REF!</v>
      </c>
      <c r="O56" s="49" t="e">
        <f t="shared" si="9"/>
        <v>#REF!</v>
      </c>
      <c r="P56" s="49" t="e">
        <f t="shared" si="9"/>
        <v>#REF!</v>
      </c>
      <c r="Q56" s="52" t="e">
        <f t="shared" si="9"/>
        <v>#REF!</v>
      </c>
      <c r="R56" s="49" t="e">
        <f t="shared" si="9"/>
        <v>#REF!</v>
      </c>
      <c r="S56" s="49" t="e">
        <f t="shared" si="9"/>
        <v>#REF!</v>
      </c>
      <c r="T56" s="49" t="e">
        <f t="shared" si="9"/>
        <v>#REF!</v>
      </c>
      <c r="U56" s="36">
        <v>0</v>
      </c>
      <c r="V56" s="36">
        <v>2068.2</v>
      </c>
      <c r="W56" s="36">
        <v>0</v>
      </c>
      <c r="X56" s="36">
        <v>24990.400000000005</v>
      </c>
      <c r="Y56" s="36">
        <v>126813.1</v>
      </c>
      <c r="Z56" s="36">
        <v>126832.8</v>
      </c>
    </row>
    <row r="57" spans="1:26" s="1" customFormat="1" ht="38.25">
      <c r="A57" s="67"/>
      <c r="B57" s="65"/>
      <c r="C57" s="65" t="s">
        <v>176</v>
      </c>
      <c r="D57" s="97"/>
      <c r="E57" s="90" t="s">
        <v>177</v>
      </c>
      <c r="F57" s="50" t="e">
        <f>#REF!+#REF!+#REF!</f>
        <v>#REF!</v>
      </c>
      <c r="G57" s="50" t="e">
        <f>#REF!+#REF!+#REF!</f>
        <v>#REF!</v>
      </c>
      <c r="H57" s="50" t="e">
        <f>#REF!+#REF!+#REF!</f>
        <v>#REF!</v>
      </c>
      <c r="I57" s="49" t="e">
        <f>#REF!+#REF!+#REF!+I58</f>
        <v>#REF!</v>
      </c>
      <c r="J57" s="49" t="e">
        <f>#REF!+#REF!+#REF!+J58</f>
        <v>#REF!</v>
      </c>
      <c r="K57" s="49" t="e">
        <f>#REF!+#REF!+#REF!+K58</f>
        <v>#REF!</v>
      </c>
      <c r="L57" s="49" t="e">
        <f>#REF!+#REF!+#REF!+L58</f>
        <v>#REF!</v>
      </c>
      <c r="M57" s="49" t="e">
        <f>#REF!+#REF!+#REF!+M58</f>
        <v>#REF!</v>
      </c>
      <c r="N57" s="49" t="e">
        <f>#REF!+#REF!+#REF!+N58</f>
        <v>#REF!</v>
      </c>
      <c r="O57" s="49" t="e">
        <f>#REF!+#REF!+#REF!+O58</f>
        <v>#REF!</v>
      </c>
      <c r="P57" s="49" t="e">
        <f>#REF!+#REF!+#REF!+P58</f>
        <v>#REF!</v>
      </c>
      <c r="Q57" s="52" t="e">
        <f>#REF!+#REF!+#REF!+Q58</f>
        <v>#REF!</v>
      </c>
      <c r="R57" s="49" t="e">
        <f>#REF!+#REF!+#REF!+R58</f>
        <v>#REF!</v>
      </c>
      <c r="S57" s="49" t="e">
        <f>#REF!+#REF!+#REF!+S58</f>
        <v>#REF!</v>
      </c>
      <c r="T57" s="49" t="e">
        <f>#REF!+#REF!+#REF!+T58</f>
        <v>#REF!</v>
      </c>
      <c r="U57" s="36">
        <v>0</v>
      </c>
      <c r="V57" s="36">
        <v>2068.2</v>
      </c>
      <c r="W57" s="36">
        <v>0</v>
      </c>
      <c r="X57" s="36">
        <v>24990.400000000005</v>
      </c>
      <c r="Y57" s="36">
        <v>126813.1</v>
      </c>
      <c r="Z57" s="36">
        <v>126832.8</v>
      </c>
    </row>
    <row r="58" spans="1:26" s="24" customFormat="1" ht="51">
      <c r="A58" s="67"/>
      <c r="B58" s="65"/>
      <c r="C58" s="65" t="s">
        <v>241</v>
      </c>
      <c r="D58" s="97"/>
      <c r="E58" s="90" t="s">
        <v>242</v>
      </c>
      <c r="F58" s="51"/>
      <c r="G58" s="51"/>
      <c r="H58" s="51"/>
      <c r="I58" s="49">
        <f aca="true" t="shared" si="10" ref="I58:N58">SUM(I59:I59)</f>
        <v>2048.5</v>
      </c>
      <c r="J58" s="49">
        <f t="shared" si="10"/>
        <v>2048.5</v>
      </c>
      <c r="K58" s="49">
        <f t="shared" si="10"/>
        <v>0</v>
      </c>
      <c r="L58" s="49">
        <f t="shared" si="10"/>
        <v>0</v>
      </c>
      <c r="M58" s="49">
        <f t="shared" si="10"/>
        <v>0</v>
      </c>
      <c r="N58" s="49">
        <f t="shared" si="10"/>
        <v>0</v>
      </c>
      <c r="O58" s="49"/>
      <c r="P58" s="49">
        <f>SUM(P59:P59)</f>
        <v>2048.5</v>
      </c>
      <c r="Q58" s="49"/>
      <c r="R58" s="49">
        <f>SUM(R59:R59)</f>
        <v>0</v>
      </c>
      <c r="S58" s="49"/>
      <c r="T58" s="49">
        <f>SUM(T59:T59)</f>
        <v>0</v>
      </c>
      <c r="U58" s="36">
        <v>0</v>
      </c>
      <c r="V58" s="36">
        <v>2048.5</v>
      </c>
      <c r="W58" s="36">
        <v>0</v>
      </c>
      <c r="X58" s="36">
        <v>0</v>
      </c>
      <c r="Y58" s="36">
        <v>126813.1</v>
      </c>
      <c r="Z58" s="36">
        <v>126813.1</v>
      </c>
    </row>
    <row r="59" spans="1:26" s="24" customFormat="1" ht="15">
      <c r="A59" s="67"/>
      <c r="B59" s="65"/>
      <c r="C59" s="65"/>
      <c r="D59" s="97" t="s">
        <v>28</v>
      </c>
      <c r="E59" s="90" t="s">
        <v>29</v>
      </c>
      <c r="F59" s="51"/>
      <c r="G59" s="51"/>
      <c r="H59" s="51"/>
      <c r="I59" s="49">
        <f>207.9+623.8+1216.8</f>
        <v>2048.5</v>
      </c>
      <c r="J59" s="49">
        <f>F59+I59</f>
        <v>2048.5</v>
      </c>
      <c r="K59" s="49">
        <v>0</v>
      </c>
      <c r="L59" s="49">
        <f>G59+K59</f>
        <v>0</v>
      </c>
      <c r="M59" s="49">
        <v>0</v>
      </c>
      <c r="N59" s="49">
        <f>H59+M59</f>
        <v>0</v>
      </c>
      <c r="O59" s="49"/>
      <c r="P59" s="49">
        <f>J59+O59</f>
        <v>2048.5</v>
      </c>
      <c r="Q59" s="49"/>
      <c r="R59" s="49">
        <f>L59+Q59</f>
        <v>0</v>
      </c>
      <c r="S59" s="49"/>
      <c r="T59" s="49">
        <f>N59+S59</f>
        <v>0</v>
      </c>
      <c r="U59" s="36">
        <v>0</v>
      </c>
      <c r="V59" s="36">
        <v>2048.5</v>
      </c>
      <c r="W59" s="36">
        <v>0</v>
      </c>
      <c r="X59" s="36">
        <v>0</v>
      </c>
      <c r="Y59" s="36">
        <v>126813.1</v>
      </c>
      <c r="Z59" s="36">
        <v>126813.1</v>
      </c>
    </row>
    <row r="60" spans="1:26" s="1" customFormat="1" ht="45">
      <c r="A60" s="64" t="s">
        <v>53</v>
      </c>
      <c r="B60" s="122"/>
      <c r="C60" s="122"/>
      <c r="D60" s="122"/>
      <c r="E60" s="123" t="s">
        <v>22</v>
      </c>
      <c r="F60" s="53" t="e">
        <f>#REF!+#REF!+F61</f>
        <v>#REF!</v>
      </c>
      <c r="G60" s="53" t="e">
        <f>#REF!+#REF!+G61</f>
        <v>#REF!</v>
      </c>
      <c r="H60" s="53" t="e">
        <f>#REF!+#REF!+H61</f>
        <v>#REF!</v>
      </c>
      <c r="I60" s="49" t="e">
        <f>#REF!+#REF!+I61</f>
        <v>#REF!</v>
      </c>
      <c r="J60" s="49" t="e">
        <f>#REF!+#REF!+J61</f>
        <v>#REF!</v>
      </c>
      <c r="K60" s="49" t="e">
        <f>#REF!+#REF!+K61</f>
        <v>#REF!</v>
      </c>
      <c r="L60" s="49" t="e">
        <f>#REF!+#REF!+L61</f>
        <v>#REF!</v>
      </c>
      <c r="M60" s="49" t="e">
        <f>#REF!+#REF!+M61</f>
        <v>#REF!</v>
      </c>
      <c r="N60" s="49" t="e">
        <f>#REF!+#REF!+N61</f>
        <v>#REF!</v>
      </c>
      <c r="O60" s="49" t="e">
        <f>#REF!+#REF!+O61</f>
        <v>#REF!</v>
      </c>
      <c r="P60" s="49" t="e">
        <f>#REF!+#REF!+P61</f>
        <v>#REF!</v>
      </c>
      <c r="Q60" s="49" t="e">
        <f>#REF!+#REF!+Q61</f>
        <v>#REF!</v>
      </c>
      <c r="R60" s="49" t="e">
        <f>#REF!+#REF!+R61</f>
        <v>#REF!</v>
      </c>
      <c r="S60" s="49" t="e">
        <f>#REF!+#REF!+S61</f>
        <v>#REF!</v>
      </c>
      <c r="T60" s="49" t="e">
        <f>#REF!+#REF!+T61</f>
        <v>#REF!</v>
      </c>
      <c r="U60" s="36">
        <v>0</v>
      </c>
      <c r="V60" s="36">
        <v>224934.80000000002</v>
      </c>
      <c r="W60" s="36">
        <v>0</v>
      </c>
      <c r="X60" s="36">
        <v>201910.6</v>
      </c>
      <c r="Y60" s="36">
        <v>0</v>
      </c>
      <c r="Z60" s="36">
        <v>199852.2</v>
      </c>
    </row>
    <row r="61" spans="1:26" s="2" customFormat="1" ht="13.5" customHeight="1">
      <c r="A61" s="78"/>
      <c r="B61" s="74" t="s">
        <v>47</v>
      </c>
      <c r="C61" s="74"/>
      <c r="D61" s="74"/>
      <c r="E61" s="77" t="s">
        <v>45</v>
      </c>
      <c r="F61" s="32" t="e">
        <f>F62+#REF!</f>
        <v>#REF!</v>
      </c>
      <c r="G61" s="32" t="e">
        <f>G62+#REF!</f>
        <v>#REF!</v>
      </c>
      <c r="H61" s="32" t="e">
        <f>H62+#REF!</f>
        <v>#REF!</v>
      </c>
      <c r="I61" s="49" t="e">
        <f>I62+#REF!</f>
        <v>#REF!</v>
      </c>
      <c r="J61" s="49" t="e">
        <f>J62+#REF!</f>
        <v>#REF!</v>
      </c>
      <c r="K61" s="49" t="e">
        <f>K62+#REF!</f>
        <v>#REF!</v>
      </c>
      <c r="L61" s="49" t="e">
        <f>L62+#REF!</f>
        <v>#REF!</v>
      </c>
      <c r="M61" s="49" t="e">
        <f>M62+#REF!</f>
        <v>#REF!</v>
      </c>
      <c r="N61" s="49" t="e">
        <f>N62+#REF!</f>
        <v>#REF!</v>
      </c>
      <c r="O61" s="49" t="e">
        <f>O62+#REF!</f>
        <v>#REF!</v>
      </c>
      <c r="P61" s="49" t="e">
        <f>P62+#REF!</f>
        <v>#REF!</v>
      </c>
      <c r="Q61" s="49" t="e">
        <f>Q62+#REF!</f>
        <v>#REF!</v>
      </c>
      <c r="R61" s="49" t="e">
        <f>R62+#REF!</f>
        <v>#REF!</v>
      </c>
      <c r="S61" s="49" t="e">
        <f>S62+#REF!</f>
        <v>#REF!</v>
      </c>
      <c r="T61" s="49" t="e">
        <f>T62+#REF!</f>
        <v>#REF!</v>
      </c>
      <c r="U61" s="36">
        <v>0</v>
      </c>
      <c r="V61" s="36">
        <v>218940.80000000002</v>
      </c>
      <c r="W61" s="36">
        <v>0</v>
      </c>
      <c r="X61" s="36">
        <v>195916.6</v>
      </c>
      <c r="Y61" s="36">
        <v>0</v>
      </c>
      <c r="Z61" s="36">
        <v>193858.2</v>
      </c>
    </row>
    <row r="62" spans="1:26" s="3" customFormat="1" ht="13.5" customHeight="1">
      <c r="A62" s="78"/>
      <c r="B62" s="65" t="s">
        <v>23</v>
      </c>
      <c r="C62" s="65"/>
      <c r="D62" s="65"/>
      <c r="E62" s="124" t="s">
        <v>24</v>
      </c>
      <c r="F62" s="32" t="e">
        <f aca="true" t="shared" si="11" ref="F62:T62">F63</f>
        <v>#REF!</v>
      </c>
      <c r="G62" s="32" t="e">
        <f t="shared" si="11"/>
        <v>#REF!</v>
      </c>
      <c r="H62" s="32" t="e">
        <f t="shared" si="11"/>
        <v>#REF!</v>
      </c>
      <c r="I62" s="49" t="e">
        <f t="shared" si="11"/>
        <v>#REF!</v>
      </c>
      <c r="J62" s="49" t="e">
        <f t="shared" si="11"/>
        <v>#REF!</v>
      </c>
      <c r="K62" s="49" t="e">
        <f t="shared" si="11"/>
        <v>#REF!</v>
      </c>
      <c r="L62" s="49" t="e">
        <f t="shared" si="11"/>
        <v>#REF!</v>
      </c>
      <c r="M62" s="49" t="e">
        <f t="shared" si="11"/>
        <v>#REF!</v>
      </c>
      <c r="N62" s="49" t="e">
        <f t="shared" si="11"/>
        <v>#REF!</v>
      </c>
      <c r="O62" s="49" t="e">
        <f t="shared" si="11"/>
        <v>#REF!</v>
      </c>
      <c r="P62" s="49" t="e">
        <f t="shared" si="11"/>
        <v>#REF!</v>
      </c>
      <c r="Q62" s="49" t="e">
        <f t="shared" si="11"/>
        <v>#REF!</v>
      </c>
      <c r="R62" s="49" t="e">
        <f t="shared" si="11"/>
        <v>#REF!</v>
      </c>
      <c r="S62" s="49" t="e">
        <f t="shared" si="11"/>
        <v>#REF!</v>
      </c>
      <c r="T62" s="49" t="e">
        <f t="shared" si="11"/>
        <v>#REF!</v>
      </c>
      <c r="U62" s="36">
        <v>0</v>
      </c>
      <c r="V62" s="36">
        <v>211708.2</v>
      </c>
      <c r="W62" s="36">
        <v>0</v>
      </c>
      <c r="X62" s="36">
        <v>188700.5</v>
      </c>
      <c r="Y62" s="36">
        <v>0</v>
      </c>
      <c r="Z62" s="36">
        <v>186642.1</v>
      </c>
    </row>
    <row r="63" spans="1:26" s="2" customFormat="1" ht="25.5">
      <c r="A63" s="78"/>
      <c r="B63" s="65"/>
      <c r="C63" s="74" t="s">
        <v>8</v>
      </c>
      <c r="D63" s="79"/>
      <c r="E63" s="95" t="s">
        <v>199</v>
      </c>
      <c r="F63" s="32" t="e">
        <f>#REF!+F64</f>
        <v>#REF!</v>
      </c>
      <c r="G63" s="32" t="e">
        <f>#REF!+G64</f>
        <v>#REF!</v>
      </c>
      <c r="H63" s="32" t="e">
        <f>#REF!+H64</f>
        <v>#REF!</v>
      </c>
      <c r="I63" s="49" t="e">
        <f>#REF!+I64</f>
        <v>#REF!</v>
      </c>
      <c r="J63" s="49" t="e">
        <f>#REF!+J64</f>
        <v>#REF!</v>
      </c>
      <c r="K63" s="49" t="e">
        <f>#REF!+K64</f>
        <v>#REF!</v>
      </c>
      <c r="L63" s="49" t="e">
        <f>#REF!+L64</f>
        <v>#REF!</v>
      </c>
      <c r="M63" s="49" t="e">
        <f>#REF!+M64</f>
        <v>#REF!</v>
      </c>
      <c r="N63" s="49" t="e">
        <f>#REF!+N64</f>
        <v>#REF!</v>
      </c>
      <c r="O63" s="49" t="e">
        <f>#REF!+O64</f>
        <v>#REF!</v>
      </c>
      <c r="P63" s="49" t="e">
        <f>#REF!+P64</f>
        <v>#REF!</v>
      </c>
      <c r="Q63" s="49" t="e">
        <f>#REF!+Q64</f>
        <v>#REF!</v>
      </c>
      <c r="R63" s="49" t="e">
        <f>#REF!+R64</f>
        <v>#REF!</v>
      </c>
      <c r="S63" s="49" t="e">
        <f>#REF!+S64</f>
        <v>#REF!</v>
      </c>
      <c r="T63" s="49" t="e">
        <f>#REF!+T64</f>
        <v>#REF!</v>
      </c>
      <c r="U63" s="36">
        <v>0</v>
      </c>
      <c r="V63" s="36">
        <v>211708.2</v>
      </c>
      <c r="W63" s="36">
        <v>0</v>
      </c>
      <c r="X63" s="36">
        <v>188700.5</v>
      </c>
      <c r="Y63" s="36">
        <v>0</v>
      </c>
      <c r="Z63" s="36">
        <v>186642.1</v>
      </c>
    </row>
    <row r="64" spans="1:26" s="1" customFormat="1" ht="38.25">
      <c r="A64" s="78"/>
      <c r="B64" s="79"/>
      <c r="C64" s="74" t="s">
        <v>10</v>
      </c>
      <c r="D64" s="65"/>
      <c r="E64" s="95" t="s">
        <v>157</v>
      </c>
      <c r="F64" s="32" t="e">
        <f>#REF!+F65+#REF!+#REF!</f>
        <v>#REF!</v>
      </c>
      <c r="G64" s="32" t="e">
        <f>#REF!+G65+#REF!+#REF!</f>
        <v>#REF!</v>
      </c>
      <c r="H64" s="32" t="e">
        <f>#REF!+H65+#REF!+#REF!</f>
        <v>#REF!</v>
      </c>
      <c r="I64" s="49" t="e">
        <f>#REF!+I65+#REF!+#REF!+#REF!</f>
        <v>#REF!</v>
      </c>
      <c r="J64" s="49" t="e">
        <f>#REF!+J65+#REF!+#REF!+#REF!</f>
        <v>#REF!</v>
      </c>
      <c r="K64" s="49" t="e">
        <f>#REF!+K65+#REF!+#REF!+#REF!</f>
        <v>#REF!</v>
      </c>
      <c r="L64" s="49" t="e">
        <f>#REF!+L65+#REF!+#REF!+#REF!</f>
        <v>#REF!</v>
      </c>
      <c r="M64" s="49" t="e">
        <f>#REF!+M65+#REF!+#REF!+#REF!</f>
        <v>#REF!</v>
      </c>
      <c r="N64" s="49" t="e">
        <f>#REF!+N65+#REF!+#REF!+#REF!</f>
        <v>#REF!</v>
      </c>
      <c r="O64" s="49"/>
      <c r="P64" s="49" t="e">
        <f>#REF!+P65+#REF!+#REF!+#REF!</f>
        <v>#REF!</v>
      </c>
      <c r="Q64" s="49"/>
      <c r="R64" s="49" t="e">
        <f>#REF!+R65+#REF!+#REF!+#REF!</f>
        <v>#REF!</v>
      </c>
      <c r="S64" s="49"/>
      <c r="T64" s="49" t="e">
        <f>#REF!+T65+#REF!+#REF!+#REF!</f>
        <v>#REF!</v>
      </c>
      <c r="U64" s="36">
        <v>0</v>
      </c>
      <c r="V64" s="36">
        <v>209175.5</v>
      </c>
      <c r="W64" s="36">
        <v>0</v>
      </c>
      <c r="X64" s="36">
        <v>186211.7</v>
      </c>
      <c r="Y64" s="36">
        <v>0</v>
      </c>
      <c r="Z64" s="36">
        <v>184153.30000000002</v>
      </c>
    </row>
    <row r="65" spans="1:26" s="1" customFormat="1" ht="25.5">
      <c r="A65" s="78"/>
      <c r="B65" s="79"/>
      <c r="C65" s="74" t="s">
        <v>11</v>
      </c>
      <c r="D65" s="65"/>
      <c r="E65" s="95" t="s">
        <v>2</v>
      </c>
      <c r="F65" s="32">
        <f aca="true" t="shared" si="12" ref="F65:H66">F66</f>
        <v>7483.4</v>
      </c>
      <c r="G65" s="32">
        <f t="shared" si="12"/>
        <v>0</v>
      </c>
      <c r="H65" s="32">
        <f t="shared" si="12"/>
        <v>0</v>
      </c>
      <c r="I65" s="49">
        <f aca="true" t="shared" si="13" ref="I65:N65">I66+I68</f>
        <v>11261.6</v>
      </c>
      <c r="J65" s="49">
        <f t="shared" si="13"/>
        <v>18745</v>
      </c>
      <c r="K65" s="49">
        <f t="shared" si="13"/>
        <v>0</v>
      </c>
      <c r="L65" s="49">
        <f t="shared" si="13"/>
        <v>0</v>
      </c>
      <c r="M65" s="49">
        <f t="shared" si="13"/>
        <v>0</v>
      </c>
      <c r="N65" s="49">
        <f t="shared" si="13"/>
        <v>0</v>
      </c>
      <c r="O65" s="49"/>
      <c r="P65" s="49">
        <f>P66+P68</f>
        <v>18745</v>
      </c>
      <c r="Q65" s="49"/>
      <c r="R65" s="49">
        <f>R66+R68</f>
        <v>0</v>
      </c>
      <c r="S65" s="49"/>
      <c r="T65" s="49">
        <f>T66+T68</f>
        <v>0</v>
      </c>
      <c r="U65" s="83">
        <v>0</v>
      </c>
      <c r="V65" s="36">
        <v>18745</v>
      </c>
      <c r="W65" s="36">
        <v>0</v>
      </c>
      <c r="X65" s="36">
        <v>0</v>
      </c>
      <c r="Y65" s="36">
        <v>0</v>
      </c>
      <c r="Z65" s="36">
        <v>0</v>
      </c>
    </row>
    <row r="66" spans="1:26" s="1" customFormat="1" ht="25.5">
      <c r="A66" s="78"/>
      <c r="B66" s="79"/>
      <c r="C66" s="74" t="s">
        <v>97</v>
      </c>
      <c r="D66" s="65"/>
      <c r="E66" s="95" t="s">
        <v>86</v>
      </c>
      <c r="F66" s="32">
        <f t="shared" si="12"/>
        <v>7483.4</v>
      </c>
      <c r="G66" s="32">
        <f t="shared" si="12"/>
        <v>0</v>
      </c>
      <c r="H66" s="32">
        <f t="shared" si="12"/>
        <v>0</v>
      </c>
      <c r="I66" s="49">
        <f aca="true" t="shared" si="14" ref="I66:N66">I67</f>
        <v>7702.000000000001</v>
      </c>
      <c r="J66" s="49">
        <f t="shared" si="14"/>
        <v>15185.400000000001</v>
      </c>
      <c r="K66" s="49">
        <f t="shared" si="14"/>
        <v>0</v>
      </c>
      <c r="L66" s="49">
        <f t="shared" si="14"/>
        <v>0</v>
      </c>
      <c r="M66" s="49">
        <f t="shared" si="14"/>
        <v>0</v>
      </c>
      <c r="N66" s="49">
        <f t="shared" si="14"/>
        <v>0</v>
      </c>
      <c r="O66" s="49"/>
      <c r="P66" s="49">
        <f>P67</f>
        <v>15185.400000000001</v>
      </c>
      <c r="Q66" s="49"/>
      <c r="R66" s="49">
        <f>R67</f>
        <v>0</v>
      </c>
      <c r="S66" s="49"/>
      <c r="T66" s="49">
        <f>T67</f>
        <v>0</v>
      </c>
      <c r="U66" s="83">
        <v>-1525.6</v>
      </c>
      <c r="V66" s="36">
        <v>13659.800000000001</v>
      </c>
      <c r="W66" s="36">
        <v>0</v>
      </c>
      <c r="X66" s="36">
        <v>0</v>
      </c>
      <c r="Y66" s="36">
        <v>0</v>
      </c>
      <c r="Z66" s="36">
        <v>0</v>
      </c>
    </row>
    <row r="67" spans="1:26" s="1" customFormat="1" ht="38.25">
      <c r="A67" s="78"/>
      <c r="B67" s="79"/>
      <c r="C67" s="74"/>
      <c r="D67" s="65" t="s">
        <v>32</v>
      </c>
      <c r="E67" s="95" t="s">
        <v>33</v>
      </c>
      <c r="F67" s="32">
        <f>5128.3+2355.1</f>
        <v>7483.4</v>
      </c>
      <c r="G67" s="32">
        <v>0</v>
      </c>
      <c r="H67" s="32">
        <v>0</v>
      </c>
      <c r="I67" s="49">
        <f>392.6+4782+27.8+419.6+599.9+187.1+1293</f>
        <v>7702.000000000001</v>
      </c>
      <c r="J67" s="49">
        <f>F67+I67</f>
        <v>15185.400000000001</v>
      </c>
      <c r="K67" s="49">
        <v>0</v>
      </c>
      <c r="L67" s="49">
        <f>G67+K67</f>
        <v>0</v>
      </c>
      <c r="M67" s="49">
        <v>0</v>
      </c>
      <c r="N67" s="49">
        <f>H67+M67</f>
        <v>0</v>
      </c>
      <c r="O67" s="49"/>
      <c r="P67" s="49">
        <f>J67+O67</f>
        <v>15185.400000000001</v>
      </c>
      <c r="Q67" s="49"/>
      <c r="R67" s="49">
        <f>L67+Q67</f>
        <v>0</v>
      </c>
      <c r="S67" s="49"/>
      <c r="T67" s="49">
        <f>N67+S67</f>
        <v>0</v>
      </c>
      <c r="U67" s="83">
        <v>-1525.6</v>
      </c>
      <c r="V67" s="36">
        <v>13659.800000000001</v>
      </c>
      <c r="W67" s="36">
        <v>0</v>
      </c>
      <c r="X67" s="36">
        <v>0</v>
      </c>
      <c r="Y67" s="36">
        <v>0</v>
      </c>
      <c r="Z67" s="36">
        <v>0</v>
      </c>
    </row>
    <row r="68" spans="1:26" s="24" customFormat="1" ht="38.25">
      <c r="A68" s="78"/>
      <c r="B68" s="79"/>
      <c r="C68" s="74" t="s">
        <v>256</v>
      </c>
      <c r="D68" s="65"/>
      <c r="E68" s="95" t="s">
        <v>257</v>
      </c>
      <c r="F68" s="32"/>
      <c r="G68" s="32"/>
      <c r="H68" s="32"/>
      <c r="I68" s="49">
        <f aca="true" t="shared" si="15" ref="I68:T68">I69</f>
        <v>3559.6</v>
      </c>
      <c r="J68" s="49">
        <f t="shared" si="15"/>
        <v>3559.6</v>
      </c>
      <c r="K68" s="49">
        <f t="shared" si="15"/>
        <v>0</v>
      </c>
      <c r="L68" s="49">
        <f t="shared" si="15"/>
        <v>0</v>
      </c>
      <c r="M68" s="49">
        <f t="shared" si="15"/>
        <v>0</v>
      </c>
      <c r="N68" s="49">
        <f t="shared" si="15"/>
        <v>0</v>
      </c>
      <c r="O68" s="49"/>
      <c r="P68" s="49">
        <f t="shared" si="15"/>
        <v>3559.6</v>
      </c>
      <c r="Q68" s="49"/>
      <c r="R68" s="49">
        <f t="shared" si="15"/>
        <v>0</v>
      </c>
      <c r="S68" s="49"/>
      <c r="T68" s="49">
        <f t="shared" si="15"/>
        <v>0</v>
      </c>
      <c r="U68" s="36">
        <v>1525.6</v>
      </c>
      <c r="V68" s="36">
        <v>5085.2</v>
      </c>
      <c r="W68" s="36">
        <v>0</v>
      </c>
      <c r="X68" s="36">
        <v>0</v>
      </c>
      <c r="Y68" s="36">
        <v>0</v>
      </c>
      <c r="Z68" s="36">
        <v>0</v>
      </c>
    </row>
    <row r="69" spans="1:26" s="24" customFormat="1" ht="38.25">
      <c r="A69" s="78"/>
      <c r="B69" s="79"/>
      <c r="C69" s="74"/>
      <c r="D69" s="65" t="s">
        <v>32</v>
      </c>
      <c r="E69" s="95" t="s">
        <v>33</v>
      </c>
      <c r="F69" s="32"/>
      <c r="G69" s="32"/>
      <c r="H69" s="32"/>
      <c r="I69" s="49">
        <v>3559.6</v>
      </c>
      <c r="J69" s="49">
        <f>F69+I69</f>
        <v>3559.6</v>
      </c>
      <c r="K69" s="49">
        <v>0</v>
      </c>
      <c r="L69" s="49">
        <f>G69+K69</f>
        <v>0</v>
      </c>
      <c r="M69" s="49">
        <v>0</v>
      </c>
      <c r="N69" s="49">
        <f>H69+M69</f>
        <v>0</v>
      </c>
      <c r="O69" s="49"/>
      <c r="P69" s="49">
        <f>J69+O69</f>
        <v>3559.6</v>
      </c>
      <c r="Q69" s="49"/>
      <c r="R69" s="49">
        <f>L69+Q69</f>
        <v>0</v>
      </c>
      <c r="S69" s="49"/>
      <c r="T69" s="49">
        <f>N69+S69</f>
        <v>0</v>
      </c>
      <c r="U69" s="36">
        <v>1525.6</v>
      </c>
      <c r="V69" s="36">
        <v>5085.2</v>
      </c>
      <c r="W69" s="36">
        <v>0</v>
      </c>
      <c r="X69" s="36">
        <v>0</v>
      </c>
      <c r="Y69" s="36">
        <v>0</v>
      </c>
      <c r="Z69" s="36">
        <v>0</v>
      </c>
    </row>
    <row r="70" spans="1:26" s="1" customFormat="1" ht="15">
      <c r="A70" s="64" t="s">
        <v>54</v>
      </c>
      <c r="B70" s="72"/>
      <c r="C70" s="73"/>
      <c r="D70" s="72"/>
      <c r="E70" s="66" t="s">
        <v>55</v>
      </c>
      <c r="F70" s="52" t="e">
        <f>F71+#REF!+#REF!+F151+#REF!+F142+F160+F112+F99+#REF!+F167</f>
        <v>#REF!</v>
      </c>
      <c r="G70" s="52" t="e">
        <f>G71+#REF!+#REF!+G151+#REF!+G142+G160+G112+G99+#REF!+G167</f>
        <v>#REF!</v>
      </c>
      <c r="H70" s="52" t="e">
        <f>H71+#REF!+#REF!+H151+#REF!+H142+H160+H112+H99+#REF!+H167</f>
        <v>#REF!</v>
      </c>
      <c r="I70" s="49" t="e">
        <f>I71+#REF!+#REF!+I151+#REF!+I142+I160+I112+I99+#REF!+I167</f>
        <v>#REF!</v>
      </c>
      <c r="J70" s="49" t="e">
        <f>J71+#REF!+#REF!+J151+#REF!+J142+J160+J112+J99+#REF!+J167</f>
        <v>#REF!</v>
      </c>
      <c r="K70" s="49" t="e">
        <f>K71+#REF!+#REF!+K151+#REF!+K142+K160+K112+K99+#REF!+K167</f>
        <v>#REF!</v>
      </c>
      <c r="L70" s="49" t="e">
        <f>L71+#REF!+#REF!+L151+#REF!+L142+L160+L112+L99+#REF!+L167</f>
        <v>#REF!</v>
      </c>
      <c r="M70" s="49" t="e">
        <f>M71+#REF!+#REF!+M151+#REF!+M142+M160+M112+M99+#REF!+M167</f>
        <v>#REF!</v>
      </c>
      <c r="N70" s="49" t="e">
        <f>N71+#REF!+#REF!+N151+#REF!+N142+N160+N112+N99+#REF!+N167</f>
        <v>#REF!</v>
      </c>
      <c r="O70" s="52" t="e">
        <f>O71+#REF!+#REF!+O151+#REF!+O142+O160+O112+O99+#REF!+O167</f>
        <v>#REF!</v>
      </c>
      <c r="P70" s="49" t="e">
        <f>P71+#REF!+#REF!+P151+#REF!+P142+P160+P112+P99+#REF!+P167</f>
        <v>#REF!</v>
      </c>
      <c r="Q70" s="49" t="e">
        <f>Q71+#REF!+#REF!+Q151+#REF!+Q142+Q160+Q112+Q99+#REF!+Q167</f>
        <v>#REF!</v>
      </c>
      <c r="R70" s="49" t="e">
        <f>R71+#REF!+#REF!+R151+#REF!+R142+R160+R112+R99+#REF!+R167</f>
        <v>#REF!</v>
      </c>
      <c r="S70" s="52" t="e">
        <f>S71+#REF!+#REF!+S151+#REF!+S142+S160+S112+S99+#REF!+S167</f>
        <v>#REF!</v>
      </c>
      <c r="T70" s="49" t="e">
        <f>T71+#REF!+#REF!+T151+#REF!+T142+T160+T112+T99+#REF!+T167</f>
        <v>#REF!</v>
      </c>
      <c r="U70" s="83">
        <v>-72615.79999999999</v>
      </c>
      <c r="V70" s="36">
        <v>1606451.6000000003</v>
      </c>
      <c r="W70" s="36">
        <v>59066</v>
      </c>
      <c r="X70" s="36">
        <v>1000242.9000000001</v>
      </c>
      <c r="Y70" s="36">
        <v>2647.6</v>
      </c>
      <c r="Z70" s="36">
        <v>785562.9</v>
      </c>
    </row>
    <row r="71" spans="1:26" s="1" customFormat="1" ht="15">
      <c r="A71" s="67"/>
      <c r="B71" s="70" t="s">
        <v>61</v>
      </c>
      <c r="C71" s="65"/>
      <c r="D71" s="98"/>
      <c r="E71" s="81" t="s">
        <v>62</v>
      </c>
      <c r="F71" s="51" t="e">
        <f>#REF!+F72+F79+#REF!+#REF!</f>
        <v>#REF!</v>
      </c>
      <c r="G71" s="51" t="e">
        <f>#REF!+G72+G79+#REF!+#REF!</f>
        <v>#REF!</v>
      </c>
      <c r="H71" s="51" t="e">
        <f>#REF!+H72+H79+#REF!+#REF!</f>
        <v>#REF!</v>
      </c>
      <c r="I71" s="49" t="e">
        <f>#REF!+I72+I79+#REF!+#REF!</f>
        <v>#REF!</v>
      </c>
      <c r="J71" s="49" t="e">
        <f>#REF!+J72+J79+#REF!+#REF!</f>
        <v>#REF!</v>
      </c>
      <c r="K71" s="49" t="e">
        <f>#REF!+K72+K79+#REF!+#REF!</f>
        <v>#REF!</v>
      </c>
      <c r="L71" s="49" t="e">
        <f>#REF!+L72+L79+#REF!+#REF!</f>
        <v>#REF!</v>
      </c>
      <c r="M71" s="49" t="e">
        <f>#REF!+M72+M79+#REF!+#REF!</f>
        <v>#REF!</v>
      </c>
      <c r="N71" s="49" t="e">
        <f>#REF!+N72+N79+#REF!+#REF!</f>
        <v>#REF!</v>
      </c>
      <c r="O71" s="49" t="e">
        <f>#REF!+O72+O79+#REF!+#REF!</f>
        <v>#REF!</v>
      </c>
      <c r="P71" s="49" t="e">
        <f>#REF!+P72+P79+#REF!+#REF!</f>
        <v>#REF!</v>
      </c>
      <c r="Q71" s="49" t="e">
        <f>#REF!+Q72+Q79+#REF!+#REF!</f>
        <v>#REF!</v>
      </c>
      <c r="R71" s="49" t="e">
        <f>#REF!+R72+R79+#REF!+#REF!</f>
        <v>#REF!</v>
      </c>
      <c r="S71" s="49" t="e">
        <f>#REF!+S72+S79+#REF!+#REF!</f>
        <v>#REF!</v>
      </c>
      <c r="T71" s="49" t="e">
        <f>#REF!+T72+T79+#REF!+#REF!</f>
        <v>#REF!</v>
      </c>
      <c r="U71" s="36">
        <v>5366.9</v>
      </c>
      <c r="V71" s="36">
        <v>297589.30000000005</v>
      </c>
      <c r="W71" s="36">
        <v>1171</v>
      </c>
      <c r="X71" s="36">
        <v>276243.9</v>
      </c>
      <c r="Y71" s="36">
        <v>1171</v>
      </c>
      <c r="Z71" s="36">
        <v>275617.60000000003</v>
      </c>
    </row>
    <row r="72" spans="1:26" s="1" customFormat="1" ht="63.75">
      <c r="A72" s="67"/>
      <c r="B72" s="65" t="s">
        <v>64</v>
      </c>
      <c r="C72" s="65"/>
      <c r="D72" s="80"/>
      <c r="E72" s="69" t="s">
        <v>114</v>
      </c>
      <c r="F72" s="51">
        <f aca="true" t="shared" si="16" ref="F72:T75">F73</f>
        <v>194291.7</v>
      </c>
      <c r="G72" s="51">
        <f t="shared" si="16"/>
        <v>193841</v>
      </c>
      <c r="H72" s="51">
        <f t="shared" si="16"/>
        <v>193841</v>
      </c>
      <c r="I72" s="52">
        <f t="shared" si="16"/>
        <v>-134.30000000000007</v>
      </c>
      <c r="J72" s="49">
        <f t="shared" si="16"/>
        <v>194157.40000000002</v>
      </c>
      <c r="K72" s="49">
        <f t="shared" si="16"/>
        <v>640.0999999999999</v>
      </c>
      <c r="L72" s="49">
        <f t="shared" si="16"/>
        <v>194481.1</v>
      </c>
      <c r="M72" s="49">
        <f t="shared" si="16"/>
        <v>640.0999999999999</v>
      </c>
      <c r="N72" s="49">
        <f t="shared" si="16"/>
        <v>194481.1</v>
      </c>
      <c r="O72" s="49">
        <f t="shared" si="16"/>
        <v>0</v>
      </c>
      <c r="P72" s="49">
        <f t="shared" si="16"/>
        <v>194157.40000000002</v>
      </c>
      <c r="Q72" s="49">
        <f t="shared" si="16"/>
        <v>0</v>
      </c>
      <c r="R72" s="49">
        <f t="shared" si="16"/>
        <v>194481.1</v>
      </c>
      <c r="S72" s="49">
        <f t="shared" si="16"/>
        <v>0</v>
      </c>
      <c r="T72" s="49">
        <f t="shared" si="16"/>
        <v>194481.1</v>
      </c>
      <c r="U72" s="36">
        <v>849.2</v>
      </c>
      <c r="V72" s="36">
        <v>195609.60000000003</v>
      </c>
      <c r="W72" s="36">
        <v>739</v>
      </c>
      <c r="X72" s="36">
        <v>195623.1</v>
      </c>
      <c r="Y72" s="36">
        <v>739</v>
      </c>
      <c r="Z72" s="36">
        <v>195623.1</v>
      </c>
    </row>
    <row r="73" spans="1:26" s="1" customFormat="1" ht="25.5">
      <c r="A73" s="67"/>
      <c r="B73" s="65"/>
      <c r="C73" s="74" t="s">
        <v>120</v>
      </c>
      <c r="D73" s="65"/>
      <c r="E73" s="95" t="s">
        <v>218</v>
      </c>
      <c r="F73" s="51">
        <f t="shared" si="16"/>
        <v>194291.7</v>
      </c>
      <c r="G73" s="51">
        <f t="shared" si="16"/>
        <v>193841</v>
      </c>
      <c r="H73" s="51">
        <f t="shared" si="16"/>
        <v>193841</v>
      </c>
      <c r="I73" s="52">
        <f t="shared" si="16"/>
        <v>-134.30000000000007</v>
      </c>
      <c r="J73" s="49">
        <f t="shared" si="16"/>
        <v>194157.40000000002</v>
      </c>
      <c r="K73" s="49">
        <f t="shared" si="16"/>
        <v>640.0999999999999</v>
      </c>
      <c r="L73" s="49">
        <f t="shared" si="16"/>
        <v>194481.1</v>
      </c>
      <c r="M73" s="49">
        <f t="shared" si="16"/>
        <v>640.0999999999999</v>
      </c>
      <c r="N73" s="49">
        <f t="shared" si="16"/>
        <v>194481.1</v>
      </c>
      <c r="O73" s="49">
        <f t="shared" si="16"/>
        <v>0</v>
      </c>
      <c r="P73" s="49">
        <f t="shared" si="16"/>
        <v>194157.40000000002</v>
      </c>
      <c r="Q73" s="49">
        <f t="shared" si="16"/>
        <v>0</v>
      </c>
      <c r="R73" s="49">
        <f t="shared" si="16"/>
        <v>194481.1</v>
      </c>
      <c r="S73" s="49">
        <f t="shared" si="16"/>
        <v>0</v>
      </c>
      <c r="T73" s="49">
        <f t="shared" si="16"/>
        <v>194481.1</v>
      </c>
      <c r="U73" s="36">
        <v>849.2</v>
      </c>
      <c r="V73" s="36">
        <v>195609.60000000003</v>
      </c>
      <c r="W73" s="36">
        <v>739</v>
      </c>
      <c r="X73" s="36">
        <v>195623.1</v>
      </c>
      <c r="Y73" s="36">
        <v>739</v>
      </c>
      <c r="Z73" s="36">
        <v>195623.1</v>
      </c>
    </row>
    <row r="74" spans="1:26" s="5" customFormat="1" ht="42" customHeight="1">
      <c r="A74" s="67"/>
      <c r="B74" s="65"/>
      <c r="C74" s="65" t="s">
        <v>125</v>
      </c>
      <c r="D74" s="65"/>
      <c r="E74" s="69" t="s">
        <v>126</v>
      </c>
      <c r="F74" s="51">
        <f t="shared" si="16"/>
        <v>194291.7</v>
      </c>
      <c r="G74" s="51">
        <f t="shared" si="16"/>
        <v>193841</v>
      </c>
      <c r="H74" s="51">
        <f t="shared" si="16"/>
        <v>193841</v>
      </c>
      <c r="I74" s="52">
        <f t="shared" si="16"/>
        <v>-134.30000000000007</v>
      </c>
      <c r="J74" s="49">
        <f t="shared" si="16"/>
        <v>194157.40000000002</v>
      </c>
      <c r="K74" s="49">
        <f t="shared" si="16"/>
        <v>640.0999999999999</v>
      </c>
      <c r="L74" s="49">
        <f t="shared" si="16"/>
        <v>194481.1</v>
      </c>
      <c r="M74" s="49">
        <f t="shared" si="16"/>
        <v>640.0999999999999</v>
      </c>
      <c r="N74" s="49">
        <f t="shared" si="16"/>
        <v>194481.1</v>
      </c>
      <c r="O74" s="49">
        <f t="shared" si="16"/>
        <v>0</v>
      </c>
      <c r="P74" s="49">
        <f t="shared" si="16"/>
        <v>194157.40000000002</v>
      </c>
      <c r="Q74" s="49">
        <f t="shared" si="16"/>
        <v>0</v>
      </c>
      <c r="R74" s="49">
        <f t="shared" si="16"/>
        <v>194481.1</v>
      </c>
      <c r="S74" s="49">
        <f t="shared" si="16"/>
        <v>0</v>
      </c>
      <c r="T74" s="49">
        <f t="shared" si="16"/>
        <v>194481.1</v>
      </c>
      <c r="U74" s="36">
        <v>849.2</v>
      </c>
      <c r="V74" s="36">
        <v>195609.60000000003</v>
      </c>
      <c r="W74" s="36">
        <v>739</v>
      </c>
      <c r="X74" s="36">
        <v>195623.1</v>
      </c>
      <c r="Y74" s="36">
        <v>739</v>
      </c>
      <c r="Z74" s="36">
        <v>195623.1</v>
      </c>
    </row>
    <row r="75" spans="1:26" s="5" customFormat="1" ht="26.25" customHeight="1">
      <c r="A75" s="67"/>
      <c r="B75" s="65"/>
      <c r="C75" s="65" t="s">
        <v>127</v>
      </c>
      <c r="D75" s="70"/>
      <c r="E75" s="81" t="s">
        <v>184</v>
      </c>
      <c r="F75" s="51">
        <f t="shared" si="16"/>
        <v>194291.7</v>
      </c>
      <c r="G75" s="51">
        <f t="shared" si="16"/>
        <v>193841</v>
      </c>
      <c r="H75" s="51">
        <f t="shared" si="16"/>
        <v>193841</v>
      </c>
      <c r="I75" s="52">
        <f t="shared" si="16"/>
        <v>-134.30000000000007</v>
      </c>
      <c r="J75" s="49">
        <f t="shared" si="16"/>
        <v>194157.40000000002</v>
      </c>
      <c r="K75" s="49">
        <f t="shared" si="16"/>
        <v>640.0999999999999</v>
      </c>
      <c r="L75" s="49">
        <f t="shared" si="16"/>
        <v>194481.1</v>
      </c>
      <c r="M75" s="49">
        <f t="shared" si="16"/>
        <v>640.0999999999999</v>
      </c>
      <c r="N75" s="49">
        <f t="shared" si="16"/>
        <v>194481.1</v>
      </c>
      <c r="O75" s="49">
        <f t="shared" si="16"/>
        <v>0</v>
      </c>
      <c r="P75" s="49">
        <f t="shared" si="16"/>
        <v>194157.40000000002</v>
      </c>
      <c r="Q75" s="49">
        <f t="shared" si="16"/>
        <v>0</v>
      </c>
      <c r="R75" s="49">
        <f t="shared" si="16"/>
        <v>194481.1</v>
      </c>
      <c r="S75" s="49">
        <f t="shared" si="16"/>
        <v>0</v>
      </c>
      <c r="T75" s="49">
        <f t="shared" si="16"/>
        <v>194481.1</v>
      </c>
      <c r="U75" s="36">
        <v>849.2</v>
      </c>
      <c r="V75" s="36">
        <v>195609.60000000003</v>
      </c>
      <c r="W75" s="36">
        <v>739</v>
      </c>
      <c r="X75" s="36">
        <v>195623.1</v>
      </c>
      <c r="Y75" s="36">
        <v>739</v>
      </c>
      <c r="Z75" s="36">
        <v>195623.1</v>
      </c>
    </row>
    <row r="76" spans="1:26" s="6" customFormat="1" ht="25.5">
      <c r="A76" s="67"/>
      <c r="B76" s="65"/>
      <c r="C76" s="65" t="s">
        <v>99</v>
      </c>
      <c r="D76" s="70"/>
      <c r="E76" s="96" t="s">
        <v>185</v>
      </c>
      <c r="F76" s="51">
        <f aca="true" t="shared" si="17" ref="F76:T76">SUM(F77:F78)</f>
        <v>194291.7</v>
      </c>
      <c r="G76" s="51">
        <f t="shared" si="17"/>
        <v>193841</v>
      </c>
      <c r="H76" s="51">
        <f t="shared" si="17"/>
        <v>193841</v>
      </c>
      <c r="I76" s="52">
        <f t="shared" si="17"/>
        <v>-134.30000000000007</v>
      </c>
      <c r="J76" s="49">
        <f t="shared" si="17"/>
        <v>194157.40000000002</v>
      </c>
      <c r="K76" s="49">
        <f t="shared" si="17"/>
        <v>640.0999999999999</v>
      </c>
      <c r="L76" s="49">
        <f t="shared" si="17"/>
        <v>194481.1</v>
      </c>
      <c r="M76" s="49">
        <f t="shared" si="17"/>
        <v>640.0999999999999</v>
      </c>
      <c r="N76" s="49">
        <f t="shared" si="17"/>
        <v>194481.1</v>
      </c>
      <c r="O76" s="49">
        <f t="shared" si="17"/>
        <v>0</v>
      </c>
      <c r="P76" s="49">
        <f t="shared" si="17"/>
        <v>194157.40000000002</v>
      </c>
      <c r="Q76" s="49">
        <f t="shared" si="17"/>
        <v>0</v>
      </c>
      <c r="R76" s="49">
        <f t="shared" si="17"/>
        <v>194481.1</v>
      </c>
      <c r="S76" s="49">
        <f t="shared" si="17"/>
        <v>0</v>
      </c>
      <c r="T76" s="49">
        <f t="shared" si="17"/>
        <v>194481.1</v>
      </c>
      <c r="U76" s="36">
        <v>849.2</v>
      </c>
      <c r="V76" s="36">
        <v>195609.60000000003</v>
      </c>
      <c r="W76" s="36">
        <v>739</v>
      </c>
      <c r="X76" s="36">
        <v>195623.1</v>
      </c>
      <c r="Y76" s="36">
        <v>739</v>
      </c>
      <c r="Z76" s="36">
        <v>195623.1</v>
      </c>
    </row>
    <row r="77" spans="1:26" s="1" customFormat="1" ht="78" customHeight="1">
      <c r="A77" s="67"/>
      <c r="B77" s="65"/>
      <c r="C77" s="65"/>
      <c r="D77" s="97" t="s">
        <v>26</v>
      </c>
      <c r="E77" s="81" t="s">
        <v>169</v>
      </c>
      <c r="F77" s="51">
        <v>184188.2</v>
      </c>
      <c r="G77" s="51">
        <v>184188.2</v>
      </c>
      <c r="H77" s="51">
        <v>184188.2</v>
      </c>
      <c r="I77" s="52">
        <f>479+65.3-678.6</f>
        <v>-134.30000000000007</v>
      </c>
      <c r="J77" s="49">
        <f>F77+I77</f>
        <v>184053.90000000002</v>
      </c>
      <c r="K77" s="49">
        <f>574.8+65.3</f>
        <v>640.0999999999999</v>
      </c>
      <c r="L77" s="49">
        <f>G77+K77</f>
        <v>184828.30000000002</v>
      </c>
      <c r="M77" s="49">
        <f>574.8+65.3</f>
        <v>640.0999999999999</v>
      </c>
      <c r="N77" s="49">
        <f>H77+M77</f>
        <v>184828.30000000002</v>
      </c>
      <c r="O77" s="52"/>
      <c r="P77" s="49">
        <f>J77+O77</f>
        <v>184053.90000000002</v>
      </c>
      <c r="Q77" s="49"/>
      <c r="R77" s="49">
        <f>L77+Q77</f>
        <v>184828.30000000002</v>
      </c>
      <c r="S77" s="49"/>
      <c r="T77" s="49">
        <f>N77+S77</f>
        <v>184828.30000000002</v>
      </c>
      <c r="U77" s="37">
        <v>460.2</v>
      </c>
      <c r="V77" s="36">
        <v>184514.10000000003</v>
      </c>
      <c r="W77" s="36">
        <v>739</v>
      </c>
      <c r="X77" s="36">
        <v>185567.30000000002</v>
      </c>
      <c r="Y77" s="36">
        <v>739</v>
      </c>
      <c r="Z77" s="36">
        <v>185567.30000000002</v>
      </c>
    </row>
    <row r="78" spans="1:26" s="1" customFormat="1" ht="38.25">
      <c r="A78" s="67"/>
      <c r="B78" s="65"/>
      <c r="C78" s="65"/>
      <c r="D78" s="97" t="s">
        <v>27</v>
      </c>
      <c r="E78" s="90" t="s">
        <v>105</v>
      </c>
      <c r="F78" s="51">
        <v>10103.5</v>
      </c>
      <c r="G78" s="51">
        <v>9652.8</v>
      </c>
      <c r="H78" s="51">
        <v>9652.8</v>
      </c>
      <c r="I78" s="49"/>
      <c r="J78" s="49">
        <f>F78+I78</f>
        <v>10103.5</v>
      </c>
      <c r="K78" s="49"/>
      <c r="L78" s="49">
        <f>G78+K78</f>
        <v>9652.8</v>
      </c>
      <c r="M78" s="49"/>
      <c r="N78" s="49">
        <f>H78+M78</f>
        <v>9652.8</v>
      </c>
      <c r="O78" s="49"/>
      <c r="P78" s="49">
        <f>J78+O78</f>
        <v>10103.5</v>
      </c>
      <c r="Q78" s="49"/>
      <c r="R78" s="49">
        <f>L78+Q78</f>
        <v>9652.8</v>
      </c>
      <c r="S78" s="49"/>
      <c r="T78" s="49">
        <f>N78+S78</f>
        <v>9652.8</v>
      </c>
      <c r="U78" s="36">
        <v>389</v>
      </c>
      <c r="V78" s="36">
        <v>10492.5</v>
      </c>
      <c r="W78" s="36">
        <v>0</v>
      </c>
      <c r="X78" s="36">
        <v>9652.8</v>
      </c>
      <c r="Y78" s="36">
        <v>0</v>
      </c>
      <c r="Z78" s="36">
        <v>9652.8</v>
      </c>
    </row>
    <row r="79" spans="1:26" s="6" customFormat="1" ht="15">
      <c r="A79" s="67"/>
      <c r="B79" s="65" t="s">
        <v>46</v>
      </c>
      <c r="C79" s="65"/>
      <c r="D79" s="68"/>
      <c r="E79" s="69" t="s">
        <v>66</v>
      </c>
      <c r="F79" s="31" t="e">
        <f>F80+#REF!+F89+F96</f>
        <v>#REF!</v>
      </c>
      <c r="G79" s="31" t="e">
        <f>G80+#REF!+G89+G96</f>
        <v>#REF!</v>
      </c>
      <c r="H79" s="31" t="e">
        <f>H80+#REF!+H89+H96</f>
        <v>#REF!</v>
      </c>
      <c r="I79" s="49" t="e">
        <f>I80+#REF!+I89+I96</f>
        <v>#REF!</v>
      </c>
      <c r="J79" s="49" t="e">
        <f>J80+#REF!+J89+J96</f>
        <v>#REF!</v>
      </c>
      <c r="K79" s="49" t="e">
        <f>K80+#REF!+K89+K96</f>
        <v>#REF!</v>
      </c>
      <c r="L79" s="49" t="e">
        <f>L80+#REF!+L89+L96</f>
        <v>#REF!</v>
      </c>
      <c r="M79" s="49" t="e">
        <f>M80+#REF!+M89+M96</f>
        <v>#REF!</v>
      </c>
      <c r="N79" s="49" t="e">
        <f>N80+#REF!+N89+N96</f>
        <v>#REF!</v>
      </c>
      <c r="O79" s="49" t="e">
        <f>O80+#REF!+O89+O96</f>
        <v>#REF!</v>
      </c>
      <c r="P79" s="49" t="e">
        <f>P80+#REF!+P89+P96</f>
        <v>#REF!</v>
      </c>
      <c r="Q79" s="49" t="e">
        <f>Q80+#REF!+Q89+Q96</f>
        <v>#REF!</v>
      </c>
      <c r="R79" s="49" t="e">
        <f>R80+#REF!+R89+R96</f>
        <v>#REF!</v>
      </c>
      <c r="S79" s="49" t="e">
        <f>S80+#REF!+S89+S96</f>
        <v>#REF!</v>
      </c>
      <c r="T79" s="49" t="e">
        <f>T80+#REF!+T89+T96</f>
        <v>#REF!</v>
      </c>
      <c r="U79" s="36">
        <v>4517.7</v>
      </c>
      <c r="V79" s="36">
        <v>98525.90000000001</v>
      </c>
      <c r="W79" s="36">
        <v>432</v>
      </c>
      <c r="X79" s="36">
        <v>76584.5</v>
      </c>
      <c r="Y79" s="36">
        <v>432</v>
      </c>
      <c r="Z79" s="36">
        <v>76584.5</v>
      </c>
    </row>
    <row r="80" spans="1:26" s="6" customFormat="1" ht="25.5">
      <c r="A80" s="67"/>
      <c r="B80" s="65"/>
      <c r="C80" s="74" t="s">
        <v>120</v>
      </c>
      <c r="D80" s="65"/>
      <c r="E80" s="95" t="s">
        <v>218</v>
      </c>
      <c r="F80" s="31" t="e">
        <f>F81+F85+#REF!</f>
        <v>#REF!</v>
      </c>
      <c r="G80" s="31" t="e">
        <f>G81+G85+#REF!</f>
        <v>#REF!</v>
      </c>
      <c r="H80" s="31" t="e">
        <f>H81+H85+#REF!</f>
        <v>#REF!</v>
      </c>
      <c r="I80" s="49" t="e">
        <f>I81+I85+#REF!</f>
        <v>#REF!</v>
      </c>
      <c r="J80" s="49" t="e">
        <f>J81+J85+#REF!</f>
        <v>#REF!</v>
      </c>
      <c r="K80" s="49" t="e">
        <f>K81+K85+#REF!</f>
        <v>#REF!</v>
      </c>
      <c r="L80" s="49" t="e">
        <f>L81+L85+#REF!</f>
        <v>#REF!</v>
      </c>
      <c r="M80" s="49" t="e">
        <f>M81+M85+#REF!</f>
        <v>#REF!</v>
      </c>
      <c r="N80" s="49" t="e">
        <f>N81+N85+#REF!</f>
        <v>#REF!</v>
      </c>
      <c r="O80" s="49" t="e">
        <f>O81+O85+#REF!</f>
        <v>#REF!</v>
      </c>
      <c r="P80" s="49" t="e">
        <f>P81+P85+#REF!</f>
        <v>#REF!</v>
      </c>
      <c r="Q80" s="49" t="e">
        <f>Q81+Q85+#REF!</f>
        <v>#REF!</v>
      </c>
      <c r="R80" s="49" t="e">
        <f>R81+R85+#REF!</f>
        <v>#REF!</v>
      </c>
      <c r="S80" s="49" t="e">
        <f>S81+S85+#REF!</f>
        <v>#REF!</v>
      </c>
      <c r="T80" s="49" t="e">
        <f>T81+T85+#REF!</f>
        <v>#REF!</v>
      </c>
      <c r="U80" s="36">
        <v>522.9</v>
      </c>
      <c r="V80" s="36">
        <v>81847.1</v>
      </c>
      <c r="W80" s="36">
        <v>432</v>
      </c>
      <c r="X80" s="36">
        <v>76584.5</v>
      </c>
      <c r="Y80" s="36">
        <v>432</v>
      </c>
      <c r="Z80" s="36">
        <v>76584.5</v>
      </c>
    </row>
    <row r="81" spans="1:26" s="3" customFormat="1" ht="15">
      <c r="A81" s="67"/>
      <c r="B81" s="65"/>
      <c r="C81" s="65" t="s">
        <v>121</v>
      </c>
      <c r="D81" s="65"/>
      <c r="E81" s="69" t="s">
        <v>20</v>
      </c>
      <c r="F81" s="31" t="e">
        <f>#REF!+#REF!+F82</f>
        <v>#REF!</v>
      </c>
      <c r="G81" s="31" t="e">
        <f>#REF!+#REF!+G82</f>
        <v>#REF!</v>
      </c>
      <c r="H81" s="31" t="e">
        <f>#REF!+#REF!+H82</f>
        <v>#REF!</v>
      </c>
      <c r="I81" s="49" t="e">
        <f>#REF!+#REF!+I82</f>
        <v>#REF!</v>
      </c>
      <c r="J81" s="49" t="e">
        <f>#REF!+#REF!+J82</f>
        <v>#REF!</v>
      </c>
      <c r="K81" s="49" t="e">
        <f>#REF!+#REF!+K82</f>
        <v>#REF!</v>
      </c>
      <c r="L81" s="49" t="e">
        <f>#REF!+#REF!+L82</f>
        <v>#REF!</v>
      </c>
      <c r="M81" s="49" t="e">
        <f>#REF!+#REF!+M82</f>
        <v>#REF!</v>
      </c>
      <c r="N81" s="49" t="e">
        <f>#REF!+#REF!+N82</f>
        <v>#REF!</v>
      </c>
      <c r="O81" s="49"/>
      <c r="P81" s="49" t="e">
        <f>#REF!+#REF!+P82</f>
        <v>#REF!</v>
      </c>
      <c r="Q81" s="49"/>
      <c r="R81" s="49" t="e">
        <f>#REF!+#REF!+R82</f>
        <v>#REF!</v>
      </c>
      <c r="S81" s="49"/>
      <c r="T81" s="49" t="e">
        <f>#REF!+#REF!+T82</f>
        <v>#REF!</v>
      </c>
      <c r="U81" s="36">
        <v>41.9</v>
      </c>
      <c r="V81" s="36">
        <v>12157</v>
      </c>
      <c r="W81" s="36">
        <v>0</v>
      </c>
      <c r="X81" s="36">
        <v>11043.599999999999</v>
      </c>
      <c r="Y81" s="36">
        <v>0</v>
      </c>
      <c r="Z81" s="36">
        <v>11043.599999999999</v>
      </c>
    </row>
    <row r="82" spans="1:26" s="5" customFormat="1" ht="25.5" customHeight="1">
      <c r="A82" s="67"/>
      <c r="B82" s="65"/>
      <c r="C82" s="65" t="s">
        <v>123</v>
      </c>
      <c r="D82" s="70"/>
      <c r="E82" s="81" t="s">
        <v>180</v>
      </c>
      <c r="F82" s="51">
        <f>F83</f>
        <v>2521</v>
      </c>
      <c r="G82" s="51">
        <f>G83</f>
        <v>2173.4</v>
      </c>
      <c r="H82" s="51">
        <f>H83</f>
        <v>2173.4</v>
      </c>
      <c r="I82" s="49"/>
      <c r="J82" s="49">
        <f>J83</f>
        <v>2521</v>
      </c>
      <c r="K82" s="49"/>
      <c r="L82" s="49">
        <f>L83</f>
        <v>2173.4</v>
      </c>
      <c r="M82" s="49"/>
      <c r="N82" s="49">
        <f>N83</f>
        <v>2173.4</v>
      </c>
      <c r="O82" s="49"/>
      <c r="P82" s="49">
        <f>P83</f>
        <v>2521</v>
      </c>
      <c r="Q82" s="49"/>
      <c r="R82" s="49">
        <f>R83</f>
        <v>2173.4</v>
      </c>
      <c r="S82" s="49"/>
      <c r="T82" s="49">
        <f>T83</f>
        <v>2173.4</v>
      </c>
      <c r="U82" s="36">
        <v>41.9</v>
      </c>
      <c r="V82" s="36">
        <v>6683.099999999999</v>
      </c>
      <c r="W82" s="36">
        <v>0</v>
      </c>
      <c r="X82" s="36">
        <v>6293.599999999999</v>
      </c>
      <c r="Y82" s="36">
        <v>0</v>
      </c>
      <c r="Z82" s="36">
        <v>6293.599999999999</v>
      </c>
    </row>
    <row r="83" spans="1:26" s="6" customFormat="1" ht="15">
      <c r="A83" s="67"/>
      <c r="B83" s="65"/>
      <c r="C83" s="65" t="s">
        <v>98</v>
      </c>
      <c r="D83" s="65"/>
      <c r="E83" s="108" t="s">
        <v>181</v>
      </c>
      <c r="F83" s="51">
        <f>SUM(F84:F84)</f>
        <v>2521</v>
      </c>
      <c r="G83" s="51">
        <f>SUM(G84:G84)</f>
        <v>2173.4</v>
      </c>
      <c r="H83" s="51">
        <f>SUM(H84:H84)</f>
        <v>2173.4</v>
      </c>
      <c r="I83" s="49"/>
      <c r="J83" s="49">
        <f>SUM(J84:J84)</f>
        <v>2521</v>
      </c>
      <c r="K83" s="49"/>
      <c r="L83" s="49">
        <f>SUM(L84:L84)</f>
        <v>2173.4</v>
      </c>
      <c r="M83" s="49"/>
      <c r="N83" s="49">
        <f>SUM(N84:N84)</f>
        <v>2173.4</v>
      </c>
      <c r="O83" s="49"/>
      <c r="P83" s="49">
        <f>SUM(P84:P84)</f>
        <v>2521</v>
      </c>
      <c r="Q83" s="49"/>
      <c r="R83" s="49">
        <f>SUM(R84:R84)</f>
        <v>2173.4</v>
      </c>
      <c r="S83" s="49"/>
      <c r="T83" s="49">
        <f>SUM(T84:T84)</f>
        <v>2173.4</v>
      </c>
      <c r="U83" s="36">
        <v>41.9</v>
      </c>
      <c r="V83" s="36">
        <v>6683.099999999999</v>
      </c>
      <c r="W83" s="36">
        <v>0</v>
      </c>
      <c r="X83" s="36">
        <v>6293.599999999999</v>
      </c>
      <c r="Y83" s="36">
        <v>0</v>
      </c>
      <c r="Z83" s="36">
        <v>6293.599999999999</v>
      </c>
    </row>
    <row r="84" spans="1:26" s="6" customFormat="1" ht="38.25">
      <c r="A84" s="67"/>
      <c r="B84" s="65"/>
      <c r="C84" s="65"/>
      <c r="D84" s="97" t="s">
        <v>27</v>
      </c>
      <c r="E84" s="90" t="s">
        <v>105</v>
      </c>
      <c r="F84" s="51">
        <v>2521</v>
      </c>
      <c r="G84" s="51">
        <v>2173.4</v>
      </c>
      <c r="H84" s="51">
        <v>2173.4</v>
      </c>
      <c r="I84" s="49"/>
      <c r="J84" s="49">
        <f>F84+I84</f>
        <v>2521</v>
      </c>
      <c r="K84" s="49"/>
      <c r="L84" s="49">
        <f>G84+K84</f>
        <v>2173.4</v>
      </c>
      <c r="M84" s="49"/>
      <c r="N84" s="49">
        <f>H84+M84</f>
        <v>2173.4</v>
      </c>
      <c r="O84" s="49"/>
      <c r="P84" s="49">
        <f>J84+O84</f>
        <v>2521</v>
      </c>
      <c r="Q84" s="49"/>
      <c r="R84" s="49">
        <f>L84+Q84</f>
        <v>2173.4</v>
      </c>
      <c r="S84" s="49"/>
      <c r="T84" s="49">
        <f>N84+S84</f>
        <v>2173.4</v>
      </c>
      <c r="U84" s="36">
        <v>41.9</v>
      </c>
      <c r="V84" s="36">
        <v>2562.9</v>
      </c>
      <c r="W84" s="36">
        <v>0</v>
      </c>
      <c r="X84" s="36">
        <v>2173.4</v>
      </c>
      <c r="Y84" s="36">
        <v>0</v>
      </c>
      <c r="Z84" s="36">
        <v>2173.4</v>
      </c>
    </row>
    <row r="85" spans="1:26" s="3" customFormat="1" ht="38.25">
      <c r="A85" s="67"/>
      <c r="B85" s="65"/>
      <c r="C85" s="65" t="s">
        <v>124</v>
      </c>
      <c r="D85" s="65"/>
      <c r="E85" s="69" t="s">
        <v>250</v>
      </c>
      <c r="F85" s="51" t="e">
        <f>#REF!+F86+#REF!</f>
        <v>#REF!</v>
      </c>
      <c r="G85" s="51" t="e">
        <f>#REF!+G86+#REF!</f>
        <v>#REF!</v>
      </c>
      <c r="H85" s="51" t="e">
        <f>#REF!+H86+#REF!</f>
        <v>#REF!</v>
      </c>
      <c r="I85" s="49" t="e">
        <f>#REF!+I86+#REF!</f>
        <v>#REF!</v>
      </c>
      <c r="J85" s="49" t="e">
        <f>#REF!+J86+#REF!</f>
        <v>#REF!</v>
      </c>
      <c r="K85" s="49" t="e">
        <f>#REF!+K86+#REF!</f>
        <v>#REF!</v>
      </c>
      <c r="L85" s="49" t="e">
        <f>#REF!+L86+#REF!</f>
        <v>#REF!</v>
      </c>
      <c r="M85" s="49" t="e">
        <f>#REF!+M86+#REF!</f>
        <v>#REF!</v>
      </c>
      <c r="N85" s="49" t="e">
        <f>#REF!+N86+#REF!</f>
        <v>#REF!</v>
      </c>
      <c r="O85" s="49" t="e">
        <f>#REF!+O86+#REF!</f>
        <v>#REF!</v>
      </c>
      <c r="P85" s="49" t="e">
        <f>#REF!+P86+#REF!</f>
        <v>#REF!</v>
      </c>
      <c r="Q85" s="49" t="e">
        <f>#REF!+Q86+#REF!</f>
        <v>#REF!</v>
      </c>
      <c r="R85" s="49" t="e">
        <f>#REF!+R86+#REF!</f>
        <v>#REF!</v>
      </c>
      <c r="S85" s="49" t="e">
        <f>#REF!+S86+#REF!</f>
        <v>#REF!</v>
      </c>
      <c r="T85" s="49" t="e">
        <f>#REF!+T86+#REF!</f>
        <v>#REF!</v>
      </c>
      <c r="U85" s="36">
        <v>481</v>
      </c>
      <c r="V85" s="36">
        <v>60987.100000000006</v>
      </c>
      <c r="W85" s="36">
        <v>432</v>
      </c>
      <c r="X85" s="36">
        <v>56674.9</v>
      </c>
      <c r="Y85" s="36">
        <v>432</v>
      </c>
      <c r="Z85" s="36">
        <v>56674.9</v>
      </c>
    </row>
    <row r="86" spans="1:26" s="6" customFormat="1" ht="38.25">
      <c r="A86" s="67"/>
      <c r="B86" s="65"/>
      <c r="C86" s="65" t="s">
        <v>206</v>
      </c>
      <c r="D86" s="97"/>
      <c r="E86" s="107" t="s">
        <v>207</v>
      </c>
      <c r="F86" s="51">
        <f>F87</f>
        <v>16883.5</v>
      </c>
      <c r="G86" s="51">
        <f>G87</f>
        <v>16883.5</v>
      </c>
      <c r="H86" s="51">
        <f>H87</f>
        <v>16883.5</v>
      </c>
      <c r="I86" s="49"/>
      <c r="J86" s="49">
        <f>J87</f>
        <v>16883.5</v>
      </c>
      <c r="K86" s="49"/>
      <c r="L86" s="49">
        <f>L87</f>
        <v>16883.5</v>
      </c>
      <c r="M86" s="49"/>
      <c r="N86" s="49">
        <f aca="true" t="shared" si="18" ref="N86:T86">N87</f>
        <v>16883.5</v>
      </c>
      <c r="O86" s="49">
        <f t="shared" si="18"/>
        <v>2038.2</v>
      </c>
      <c r="P86" s="49">
        <f t="shared" si="18"/>
        <v>18921.7</v>
      </c>
      <c r="Q86" s="49">
        <f t="shared" si="18"/>
        <v>0</v>
      </c>
      <c r="R86" s="49">
        <f t="shared" si="18"/>
        <v>16883.5</v>
      </c>
      <c r="S86" s="49">
        <f t="shared" si="18"/>
        <v>0</v>
      </c>
      <c r="T86" s="49">
        <f t="shared" si="18"/>
        <v>16883.5</v>
      </c>
      <c r="U86" s="36">
        <v>481</v>
      </c>
      <c r="V86" s="36">
        <v>36717.600000000006</v>
      </c>
      <c r="W86" s="36">
        <v>432</v>
      </c>
      <c r="X86" s="36">
        <v>34630.4</v>
      </c>
      <c r="Y86" s="36">
        <v>432</v>
      </c>
      <c r="Z86" s="36">
        <v>34630.4</v>
      </c>
    </row>
    <row r="87" spans="1:26" s="6" customFormat="1" ht="15">
      <c r="A87" s="67"/>
      <c r="B87" s="65"/>
      <c r="C87" s="65" t="s">
        <v>208</v>
      </c>
      <c r="D87" s="97"/>
      <c r="E87" s="107" t="s">
        <v>181</v>
      </c>
      <c r="F87" s="51">
        <f>SUM(F88:F88)</f>
        <v>16883.5</v>
      </c>
      <c r="G87" s="51">
        <f>SUM(G88:G88)</f>
        <v>16883.5</v>
      </c>
      <c r="H87" s="51">
        <f>SUM(H88:H88)</f>
        <v>16883.5</v>
      </c>
      <c r="I87" s="49"/>
      <c r="J87" s="49">
        <f>SUM(J88:J88)</f>
        <v>16883.5</v>
      </c>
      <c r="K87" s="49"/>
      <c r="L87" s="49">
        <f>SUM(L88:L88)</f>
        <v>16883.5</v>
      </c>
      <c r="M87" s="49"/>
      <c r="N87" s="49">
        <f aca="true" t="shared" si="19" ref="N87:T87">SUM(N88:N88)</f>
        <v>16883.5</v>
      </c>
      <c r="O87" s="49">
        <f t="shared" si="19"/>
        <v>2038.2</v>
      </c>
      <c r="P87" s="49">
        <f t="shared" si="19"/>
        <v>18921.7</v>
      </c>
      <c r="Q87" s="49">
        <f t="shared" si="19"/>
        <v>0</v>
      </c>
      <c r="R87" s="49">
        <f t="shared" si="19"/>
        <v>16883.5</v>
      </c>
      <c r="S87" s="49">
        <f t="shared" si="19"/>
        <v>0</v>
      </c>
      <c r="T87" s="49">
        <f t="shared" si="19"/>
        <v>16883.5</v>
      </c>
      <c r="U87" s="36">
        <v>481</v>
      </c>
      <c r="V87" s="36">
        <v>36717.600000000006</v>
      </c>
      <c r="W87" s="36">
        <v>432</v>
      </c>
      <c r="X87" s="36">
        <v>34630.4</v>
      </c>
      <c r="Y87" s="36">
        <v>432</v>
      </c>
      <c r="Z87" s="36">
        <v>34630.4</v>
      </c>
    </row>
    <row r="88" spans="1:26" s="6" customFormat="1" ht="38.25">
      <c r="A88" s="67"/>
      <c r="B88" s="65"/>
      <c r="C88" s="65"/>
      <c r="D88" s="97" t="s">
        <v>27</v>
      </c>
      <c r="E88" s="107" t="s">
        <v>105</v>
      </c>
      <c r="F88" s="51">
        <f>16983.5-100</f>
        <v>16883.5</v>
      </c>
      <c r="G88" s="51">
        <f>16983.5-100</f>
        <v>16883.5</v>
      </c>
      <c r="H88" s="51">
        <f>16983.5-100</f>
        <v>16883.5</v>
      </c>
      <c r="I88" s="49"/>
      <c r="J88" s="49">
        <f>F88+I88</f>
        <v>16883.5</v>
      </c>
      <c r="K88" s="49"/>
      <c r="L88" s="49">
        <f>G88+K88</f>
        <v>16883.5</v>
      </c>
      <c r="M88" s="49"/>
      <c r="N88" s="49">
        <f>H88+M88</f>
        <v>16883.5</v>
      </c>
      <c r="O88" s="49">
        <v>2038.2</v>
      </c>
      <c r="P88" s="49">
        <f>J88+O88</f>
        <v>18921.7</v>
      </c>
      <c r="Q88" s="49">
        <v>0</v>
      </c>
      <c r="R88" s="49">
        <f>L88+Q88</f>
        <v>16883.5</v>
      </c>
      <c r="S88" s="49">
        <v>0</v>
      </c>
      <c r="T88" s="49">
        <f>N88+S88</f>
        <v>16883.5</v>
      </c>
      <c r="U88" s="36">
        <v>481</v>
      </c>
      <c r="V88" s="36">
        <v>19402.7</v>
      </c>
      <c r="W88" s="36">
        <v>432</v>
      </c>
      <c r="X88" s="36">
        <v>17315.5</v>
      </c>
      <c r="Y88" s="36">
        <v>432</v>
      </c>
      <c r="Z88" s="36">
        <v>17315.5</v>
      </c>
    </row>
    <row r="89" spans="1:26" s="6" customFormat="1" ht="25.5">
      <c r="A89" s="67"/>
      <c r="B89" s="70"/>
      <c r="C89" s="65" t="s">
        <v>172</v>
      </c>
      <c r="D89" s="110"/>
      <c r="E89" s="107" t="s">
        <v>217</v>
      </c>
      <c r="F89" s="51">
        <f>F90</f>
        <v>9</v>
      </c>
      <c r="G89" s="51">
        <f>G90</f>
        <v>0</v>
      </c>
      <c r="H89" s="51">
        <f>H90</f>
        <v>0</v>
      </c>
      <c r="I89" s="49" t="e">
        <f>I90+#REF!</f>
        <v>#REF!</v>
      </c>
      <c r="J89" s="49" t="e">
        <f>J90+#REF!</f>
        <v>#REF!</v>
      </c>
      <c r="K89" s="49" t="e">
        <f>K90+#REF!</f>
        <v>#REF!</v>
      </c>
      <c r="L89" s="49" t="e">
        <f>L90+#REF!</f>
        <v>#REF!</v>
      </c>
      <c r="M89" s="49" t="e">
        <f>M90+#REF!</f>
        <v>#REF!</v>
      </c>
      <c r="N89" s="49" t="e">
        <f>N90+#REF!</f>
        <v>#REF!</v>
      </c>
      <c r="O89" s="52">
        <f>O90</f>
        <v>-1.7</v>
      </c>
      <c r="P89" s="49" t="e">
        <f>P90+#REF!</f>
        <v>#REF!</v>
      </c>
      <c r="Q89" s="49" t="e">
        <f>Q90+#REF!</f>
        <v>#REF!</v>
      </c>
      <c r="R89" s="49" t="e">
        <f>R90+#REF!</f>
        <v>#REF!</v>
      </c>
      <c r="S89" s="49" t="e">
        <f>S90+#REF!</f>
        <v>#REF!</v>
      </c>
      <c r="T89" s="49" t="e">
        <f>T90+#REF!</f>
        <v>#REF!</v>
      </c>
      <c r="U89" s="36">
        <v>65.2</v>
      </c>
      <c r="V89" s="36">
        <v>1206.3</v>
      </c>
      <c r="W89" s="36">
        <v>0</v>
      </c>
      <c r="X89" s="36">
        <v>0</v>
      </c>
      <c r="Y89" s="36">
        <v>0</v>
      </c>
      <c r="Z89" s="36">
        <v>0</v>
      </c>
    </row>
    <row r="90" spans="1:26" s="6" customFormat="1" ht="25.5">
      <c r="A90" s="67"/>
      <c r="B90" s="70"/>
      <c r="C90" s="65" t="s">
        <v>175</v>
      </c>
      <c r="D90" s="110"/>
      <c r="E90" s="107" t="s">
        <v>147</v>
      </c>
      <c r="F90" s="51">
        <f aca="true" t="shared" si="20" ref="F90:T90">F91</f>
        <v>9</v>
      </c>
      <c r="G90" s="51">
        <f t="shared" si="20"/>
        <v>0</v>
      </c>
      <c r="H90" s="51">
        <f t="shared" si="20"/>
        <v>0</v>
      </c>
      <c r="I90" s="49">
        <f t="shared" si="20"/>
        <v>729.2</v>
      </c>
      <c r="J90" s="49">
        <f t="shared" si="20"/>
        <v>738.2</v>
      </c>
      <c r="K90" s="49">
        <f t="shared" si="20"/>
        <v>0</v>
      </c>
      <c r="L90" s="49">
        <f t="shared" si="20"/>
        <v>0</v>
      </c>
      <c r="M90" s="49">
        <f t="shared" si="20"/>
        <v>0</v>
      </c>
      <c r="N90" s="49">
        <f t="shared" si="20"/>
        <v>0</v>
      </c>
      <c r="O90" s="52">
        <f t="shared" si="20"/>
        <v>-1.7</v>
      </c>
      <c r="P90" s="49">
        <f t="shared" si="20"/>
        <v>736.5</v>
      </c>
      <c r="Q90" s="49">
        <f t="shared" si="20"/>
        <v>0</v>
      </c>
      <c r="R90" s="49">
        <f t="shared" si="20"/>
        <v>0</v>
      </c>
      <c r="S90" s="49">
        <f t="shared" si="20"/>
        <v>0</v>
      </c>
      <c r="T90" s="49">
        <f t="shared" si="20"/>
        <v>0</v>
      </c>
      <c r="U90" s="36">
        <v>65.2</v>
      </c>
      <c r="V90" s="36">
        <v>801.6999999999999</v>
      </c>
      <c r="W90" s="36">
        <v>0</v>
      </c>
      <c r="X90" s="36">
        <v>0</v>
      </c>
      <c r="Y90" s="36">
        <v>0</v>
      </c>
      <c r="Z90" s="36">
        <v>0</v>
      </c>
    </row>
    <row r="91" spans="1:26" s="6" customFormat="1" ht="38.25">
      <c r="A91" s="67"/>
      <c r="B91" s="70"/>
      <c r="C91" s="65" t="s">
        <v>176</v>
      </c>
      <c r="D91" s="110"/>
      <c r="E91" s="107" t="s">
        <v>177</v>
      </c>
      <c r="F91" s="51">
        <f>F92+F94</f>
        <v>9</v>
      </c>
      <c r="G91" s="51">
        <f>G92+G94</f>
        <v>0</v>
      </c>
      <c r="H91" s="51">
        <f>H92+H94</f>
        <v>0</v>
      </c>
      <c r="I91" s="49">
        <f aca="true" t="shared" si="21" ref="I91:N91">I92+I94</f>
        <v>729.2</v>
      </c>
      <c r="J91" s="49">
        <f>J92+J94</f>
        <v>738.2</v>
      </c>
      <c r="K91" s="49">
        <f t="shared" si="21"/>
        <v>0</v>
      </c>
      <c r="L91" s="49">
        <f t="shared" si="21"/>
        <v>0</v>
      </c>
      <c r="M91" s="49">
        <f t="shared" si="21"/>
        <v>0</v>
      </c>
      <c r="N91" s="49">
        <f t="shared" si="21"/>
        <v>0</v>
      </c>
      <c r="O91" s="52">
        <f>O94</f>
        <v>-1.7</v>
      </c>
      <c r="P91" s="49">
        <f>P92+P94</f>
        <v>736.5</v>
      </c>
      <c r="Q91" s="49">
        <f>Q92+Q94</f>
        <v>0</v>
      </c>
      <c r="R91" s="49">
        <f>R92+R94</f>
        <v>0</v>
      </c>
      <c r="S91" s="49">
        <f>S92+S94</f>
        <v>0</v>
      </c>
      <c r="T91" s="49">
        <f>T92+T94</f>
        <v>0</v>
      </c>
      <c r="U91" s="36">
        <v>65.2</v>
      </c>
      <c r="V91" s="36">
        <v>801.6999999999999</v>
      </c>
      <c r="W91" s="36">
        <v>0</v>
      </c>
      <c r="X91" s="36">
        <v>0</v>
      </c>
      <c r="Y91" s="36">
        <v>0</v>
      </c>
      <c r="Z91" s="36">
        <v>0</v>
      </c>
    </row>
    <row r="92" spans="1:26" s="25" customFormat="1" ht="25.5">
      <c r="A92" s="67"/>
      <c r="B92" s="70"/>
      <c r="C92" s="65" t="s">
        <v>113</v>
      </c>
      <c r="D92" s="110"/>
      <c r="E92" s="107" t="s">
        <v>226</v>
      </c>
      <c r="F92" s="51">
        <f>F93</f>
        <v>0</v>
      </c>
      <c r="G92" s="51">
        <f>G93</f>
        <v>0</v>
      </c>
      <c r="H92" s="51">
        <f>H93</f>
        <v>0</v>
      </c>
      <c r="I92" s="49"/>
      <c r="J92" s="49">
        <f>J93</f>
        <v>0</v>
      </c>
      <c r="K92" s="49"/>
      <c r="L92" s="49">
        <f>L93</f>
        <v>0</v>
      </c>
      <c r="M92" s="49"/>
      <c r="N92" s="49">
        <f>N93</f>
        <v>0</v>
      </c>
      <c r="O92" s="52"/>
      <c r="P92" s="49">
        <f>P93</f>
        <v>0</v>
      </c>
      <c r="Q92" s="49"/>
      <c r="R92" s="49">
        <f>R93</f>
        <v>0</v>
      </c>
      <c r="S92" s="49"/>
      <c r="T92" s="49">
        <f>T93</f>
        <v>0</v>
      </c>
      <c r="U92" s="36">
        <v>65.9</v>
      </c>
      <c r="V92" s="36">
        <v>65.9</v>
      </c>
      <c r="W92" s="36">
        <v>0</v>
      </c>
      <c r="X92" s="36">
        <v>0</v>
      </c>
      <c r="Y92" s="36">
        <v>0</v>
      </c>
      <c r="Z92" s="36">
        <v>0</v>
      </c>
    </row>
    <row r="93" spans="1:26" s="25" customFormat="1" ht="38.25">
      <c r="A93" s="67"/>
      <c r="B93" s="70"/>
      <c r="C93" s="65"/>
      <c r="D93" s="110" t="s">
        <v>27</v>
      </c>
      <c r="E93" s="107" t="s">
        <v>105</v>
      </c>
      <c r="F93" s="51"/>
      <c r="G93" s="51"/>
      <c r="H93" s="51"/>
      <c r="I93" s="49"/>
      <c r="J93" s="49">
        <f>F93+I93</f>
        <v>0</v>
      </c>
      <c r="K93" s="49"/>
      <c r="L93" s="49">
        <f>G93+K93</f>
        <v>0</v>
      </c>
      <c r="M93" s="49"/>
      <c r="N93" s="49">
        <f>H93+M93</f>
        <v>0</v>
      </c>
      <c r="O93" s="52"/>
      <c r="P93" s="49">
        <f>J93+O93</f>
        <v>0</v>
      </c>
      <c r="Q93" s="49"/>
      <c r="R93" s="49">
        <f>L93+Q93</f>
        <v>0</v>
      </c>
      <c r="S93" s="49"/>
      <c r="T93" s="49">
        <f>N93+S93</f>
        <v>0</v>
      </c>
      <c r="U93" s="37">
        <v>65.9</v>
      </c>
      <c r="V93" s="36">
        <v>65.9</v>
      </c>
      <c r="W93" s="36">
        <v>0</v>
      </c>
      <c r="X93" s="36">
        <v>0</v>
      </c>
      <c r="Y93" s="36">
        <v>0</v>
      </c>
      <c r="Z93" s="36">
        <v>0</v>
      </c>
    </row>
    <row r="94" spans="1:26" s="6" customFormat="1" ht="51">
      <c r="A94" s="67"/>
      <c r="B94" s="70"/>
      <c r="C94" s="65" t="s">
        <v>243</v>
      </c>
      <c r="D94" s="110"/>
      <c r="E94" s="107" t="s">
        <v>244</v>
      </c>
      <c r="F94" s="51">
        <f>F95</f>
        <v>9</v>
      </c>
      <c r="G94" s="51">
        <f aca="true" t="shared" si="22" ref="G94:T94">G95</f>
        <v>0</v>
      </c>
      <c r="H94" s="51">
        <f t="shared" si="22"/>
        <v>0</v>
      </c>
      <c r="I94" s="49">
        <f t="shared" si="22"/>
        <v>729.2</v>
      </c>
      <c r="J94" s="49">
        <f t="shared" si="22"/>
        <v>738.2</v>
      </c>
      <c r="K94" s="49">
        <f t="shared" si="22"/>
        <v>0</v>
      </c>
      <c r="L94" s="49">
        <f t="shared" si="22"/>
        <v>0</v>
      </c>
      <c r="M94" s="49">
        <f t="shared" si="22"/>
        <v>0</v>
      </c>
      <c r="N94" s="49">
        <f t="shared" si="22"/>
        <v>0</v>
      </c>
      <c r="O94" s="52">
        <f>O95</f>
        <v>-1.7</v>
      </c>
      <c r="P94" s="49">
        <f t="shared" si="22"/>
        <v>736.5</v>
      </c>
      <c r="Q94" s="49">
        <f t="shared" si="22"/>
        <v>0</v>
      </c>
      <c r="R94" s="49">
        <f t="shared" si="22"/>
        <v>0</v>
      </c>
      <c r="S94" s="49">
        <f t="shared" si="22"/>
        <v>0</v>
      </c>
      <c r="T94" s="49">
        <f t="shared" si="22"/>
        <v>0</v>
      </c>
      <c r="U94" s="83">
        <v>-0.7</v>
      </c>
      <c r="V94" s="36">
        <v>735.8</v>
      </c>
      <c r="W94" s="36">
        <v>0</v>
      </c>
      <c r="X94" s="36">
        <v>0</v>
      </c>
      <c r="Y94" s="36">
        <v>0</v>
      </c>
      <c r="Z94" s="36">
        <v>0</v>
      </c>
    </row>
    <row r="95" spans="1:26" s="6" customFormat="1" ht="38.25">
      <c r="A95" s="67"/>
      <c r="B95" s="70"/>
      <c r="C95" s="65"/>
      <c r="D95" s="110" t="s">
        <v>27</v>
      </c>
      <c r="E95" s="107" t="s">
        <v>105</v>
      </c>
      <c r="F95" s="51">
        <v>9</v>
      </c>
      <c r="G95" s="51">
        <v>0</v>
      </c>
      <c r="H95" s="51">
        <v>0</v>
      </c>
      <c r="I95" s="49">
        <v>729.2</v>
      </c>
      <c r="J95" s="49">
        <f>F95+I95</f>
        <v>738.2</v>
      </c>
      <c r="K95" s="49">
        <v>0</v>
      </c>
      <c r="L95" s="49">
        <f>G95+K95</f>
        <v>0</v>
      </c>
      <c r="M95" s="49">
        <v>0</v>
      </c>
      <c r="N95" s="49">
        <f>H95+M95</f>
        <v>0</v>
      </c>
      <c r="O95" s="52">
        <v>-1.7</v>
      </c>
      <c r="P95" s="49">
        <f>J95+O95</f>
        <v>736.5</v>
      </c>
      <c r="Q95" s="49">
        <v>0</v>
      </c>
      <c r="R95" s="49">
        <f>L95+Q95</f>
        <v>0</v>
      </c>
      <c r="S95" s="49">
        <v>0</v>
      </c>
      <c r="T95" s="49">
        <f>N95+S95</f>
        <v>0</v>
      </c>
      <c r="U95" s="37">
        <v>-0.7</v>
      </c>
      <c r="V95" s="36">
        <v>735.8</v>
      </c>
      <c r="W95" s="36">
        <v>0</v>
      </c>
      <c r="X95" s="36">
        <v>0</v>
      </c>
      <c r="Y95" s="36">
        <v>0</v>
      </c>
      <c r="Z95" s="36">
        <v>0</v>
      </c>
    </row>
    <row r="96" spans="1:26" s="25" customFormat="1" ht="25.5">
      <c r="A96" s="67"/>
      <c r="B96" s="70"/>
      <c r="C96" s="65" t="s">
        <v>118</v>
      </c>
      <c r="D96" s="110"/>
      <c r="E96" s="107" t="s">
        <v>119</v>
      </c>
      <c r="F96" s="51"/>
      <c r="G96" s="51"/>
      <c r="H96" s="51"/>
      <c r="I96" s="49" t="e">
        <f>I97+#REF!+#REF!</f>
        <v>#REF!</v>
      </c>
      <c r="J96" s="49" t="e">
        <f>J97+#REF!+#REF!</f>
        <v>#REF!</v>
      </c>
      <c r="K96" s="49" t="e">
        <f>K97+#REF!+#REF!</f>
        <v>#REF!</v>
      </c>
      <c r="L96" s="49" t="e">
        <f>L97+#REF!+#REF!</f>
        <v>#REF!</v>
      </c>
      <c r="M96" s="49" t="e">
        <f>M97+#REF!+#REF!</f>
        <v>#REF!</v>
      </c>
      <c r="N96" s="49" t="e">
        <f>N97+#REF!+#REF!</f>
        <v>#REF!</v>
      </c>
      <c r="O96" s="49"/>
      <c r="P96" s="49" t="e">
        <f>P97+#REF!+#REF!</f>
        <v>#REF!</v>
      </c>
      <c r="Q96" s="49"/>
      <c r="R96" s="49" t="e">
        <f>R97+#REF!+#REF!</f>
        <v>#REF!</v>
      </c>
      <c r="S96" s="49"/>
      <c r="T96" s="49" t="e">
        <f>T97+#REF!+#REF!</f>
        <v>#REF!</v>
      </c>
      <c r="U96" s="36">
        <v>3929.6</v>
      </c>
      <c r="V96" s="36">
        <v>15472.5</v>
      </c>
      <c r="W96" s="36">
        <v>0</v>
      </c>
      <c r="X96" s="36">
        <v>0</v>
      </c>
      <c r="Y96" s="36">
        <v>0</v>
      </c>
      <c r="Z96" s="36">
        <v>0</v>
      </c>
    </row>
    <row r="97" spans="1:26" s="25" customFormat="1" ht="63.75">
      <c r="A97" s="67"/>
      <c r="B97" s="70"/>
      <c r="C97" s="65" t="s">
        <v>236</v>
      </c>
      <c r="D97" s="110"/>
      <c r="E97" s="107" t="s">
        <v>171</v>
      </c>
      <c r="F97" s="51"/>
      <c r="G97" s="51"/>
      <c r="H97" s="51"/>
      <c r="I97" s="49">
        <f aca="true" t="shared" si="23" ref="I97:T97">I98</f>
        <v>275.7</v>
      </c>
      <c r="J97" s="49">
        <f t="shared" si="23"/>
        <v>275.7</v>
      </c>
      <c r="K97" s="49">
        <f t="shared" si="23"/>
        <v>0</v>
      </c>
      <c r="L97" s="49">
        <f t="shared" si="23"/>
        <v>0</v>
      </c>
      <c r="M97" s="49">
        <f t="shared" si="23"/>
        <v>0</v>
      </c>
      <c r="N97" s="49">
        <f t="shared" si="23"/>
        <v>0</v>
      </c>
      <c r="O97" s="49"/>
      <c r="P97" s="49">
        <f t="shared" si="23"/>
        <v>275.7</v>
      </c>
      <c r="Q97" s="49"/>
      <c r="R97" s="49">
        <f t="shared" si="23"/>
        <v>0</v>
      </c>
      <c r="S97" s="49"/>
      <c r="T97" s="49">
        <f t="shared" si="23"/>
        <v>0</v>
      </c>
      <c r="U97" s="36">
        <v>3929.6</v>
      </c>
      <c r="V97" s="36">
        <v>4205.3</v>
      </c>
      <c r="W97" s="36">
        <v>0</v>
      </c>
      <c r="X97" s="36">
        <v>0</v>
      </c>
      <c r="Y97" s="36">
        <v>0</v>
      </c>
      <c r="Z97" s="36">
        <v>0</v>
      </c>
    </row>
    <row r="98" spans="1:26" s="25" customFormat="1" ht="15">
      <c r="A98" s="67"/>
      <c r="B98" s="70"/>
      <c r="C98" s="65"/>
      <c r="D98" s="110" t="s">
        <v>28</v>
      </c>
      <c r="E98" s="107" t="s">
        <v>29</v>
      </c>
      <c r="F98" s="51"/>
      <c r="G98" s="51"/>
      <c r="H98" s="51"/>
      <c r="I98" s="49">
        <v>275.7</v>
      </c>
      <c r="J98" s="49">
        <f>F98+I98</f>
        <v>275.7</v>
      </c>
      <c r="K98" s="49">
        <v>0</v>
      </c>
      <c r="L98" s="49">
        <f>G98+K98</f>
        <v>0</v>
      </c>
      <c r="M98" s="49">
        <v>0</v>
      </c>
      <c r="N98" s="49">
        <f>H98+M98</f>
        <v>0</v>
      </c>
      <c r="O98" s="49"/>
      <c r="P98" s="49">
        <f>J98+O98</f>
        <v>275.7</v>
      </c>
      <c r="Q98" s="49"/>
      <c r="R98" s="49">
        <f>L98+Q98</f>
        <v>0</v>
      </c>
      <c r="S98" s="49"/>
      <c r="T98" s="49">
        <f>N98+S98</f>
        <v>0</v>
      </c>
      <c r="U98" s="36">
        <v>3929.6</v>
      </c>
      <c r="V98" s="36">
        <v>4205.3</v>
      </c>
      <c r="W98" s="36">
        <v>0</v>
      </c>
      <c r="X98" s="36">
        <v>0</v>
      </c>
      <c r="Y98" s="36">
        <v>0</v>
      </c>
      <c r="Z98" s="36">
        <v>0</v>
      </c>
    </row>
    <row r="99" spans="1:26" s="2" customFormat="1" ht="25.5">
      <c r="A99" s="67"/>
      <c r="B99" s="65" t="s">
        <v>67</v>
      </c>
      <c r="C99" s="65"/>
      <c r="D99" s="68"/>
      <c r="E99" s="109" t="s">
        <v>68</v>
      </c>
      <c r="F99" s="51" t="e">
        <f aca="true" t="shared" si="24" ref="F99:T99">F106+F100</f>
        <v>#REF!</v>
      </c>
      <c r="G99" s="51" t="e">
        <f t="shared" si="24"/>
        <v>#REF!</v>
      </c>
      <c r="H99" s="51" t="e">
        <f t="shared" si="24"/>
        <v>#REF!</v>
      </c>
      <c r="I99" s="49" t="e">
        <f t="shared" si="24"/>
        <v>#REF!</v>
      </c>
      <c r="J99" s="49" t="e">
        <f t="shared" si="24"/>
        <v>#REF!</v>
      </c>
      <c r="K99" s="49" t="e">
        <f t="shared" si="24"/>
        <v>#REF!</v>
      </c>
      <c r="L99" s="49" t="e">
        <f t="shared" si="24"/>
        <v>#REF!</v>
      </c>
      <c r="M99" s="49" t="e">
        <f t="shared" si="24"/>
        <v>#REF!</v>
      </c>
      <c r="N99" s="49" t="e">
        <f t="shared" si="24"/>
        <v>#REF!</v>
      </c>
      <c r="O99" s="49" t="e">
        <f t="shared" si="24"/>
        <v>#REF!</v>
      </c>
      <c r="P99" s="49" t="e">
        <f t="shared" si="24"/>
        <v>#REF!</v>
      </c>
      <c r="Q99" s="49" t="e">
        <f t="shared" si="24"/>
        <v>#REF!</v>
      </c>
      <c r="R99" s="49" t="e">
        <f t="shared" si="24"/>
        <v>#REF!</v>
      </c>
      <c r="S99" s="49" t="e">
        <f t="shared" si="24"/>
        <v>#REF!</v>
      </c>
      <c r="T99" s="49" t="e">
        <f t="shared" si="24"/>
        <v>#REF!</v>
      </c>
      <c r="U99" s="83">
        <v>-523.4</v>
      </c>
      <c r="V99" s="36">
        <v>60891.100000000006</v>
      </c>
      <c r="W99" s="83">
        <v>8234</v>
      </c>
      <c r="X99" s="36">
        <v>55427.799999999996</v>
      </c>
      <c r="Y99" s="83">
        <v>-523.4</v>
      </c>
      <c r="Z99" s="36">
        <v>45456.5</v>
      </c>
    </row>
    <row r="100" spans="1:26" s="2" customFormat="1" ht="51">
      <c r="A100" s="67"/>
      <c r="B100" s="65" t="s">
        <v>248</v>
      </c>
      <c r="C100" s="65"/>
      <c r="D100" s="68"/>
      <c r="E100" s="69" t="s">
        <v>249</v>
      </c>
      <c r="F100" s="51" t="e">
        <f>F101</f>
        <v>#REF!</v>
      </c>
      <c r="G100" s="51" t="e">
        <f aca="true" t="shared" si="25" ref="G100:T101">G101</f>
        <v>#REF!</v>
      </c>
      <c r="H100" s="51" t="e">
        <f t="shared" si="25"/>
        <v>#REF!</v>
      </c>
      <c r="I100" s="49" t="e">
        <f t="shared" si="25"/>
        <v>#REF!</v>
      </c>
      <c r="J100" s="49" t="e">
        <f t="shared" si="25"/>
        <v>#REF!</v>
      </c>
      <c r="K100" s="49" t="e">
        <f t="shared" si="25"/>
        <v>#REF!</v>
      </c>
      <c r="L100" s="49" t="e">
        <f t="shared" si="25"/>
        <v>#REF!</v>
      </c>
      <c r="M100" s="49" t="e">
        <f t="shared" si="25"/>
        <v>#REF!</v>
      </c>
      <c r="N100" s="49" t="e">
        <f t="shared" si="25"/>
        <v>#REF!</v>
      </c>
      <c r="O100" s="49" t="e">
        <f t="shared" si="25"/>
        <v>#REF!</v>
      </c>
      <c r="P100" s="49" t="e">
        <f t="shared" si="25"/>
        <v>#REF!</v>
      </c>
      <c r="Q100" s="49" t="e">
        <f t="shared" si="25"/>
        <v>#REF!</v>
      </c>
      <c r="R100" s="49" t="e">
        <f t="shared" si="25"/>
        <v>#REF!</v>
      </c>
      <c r="S100" s="49" t="e">
        <f t="shared" si="25"/>
        <v>#REF!</v>
      </c>
      <c r="T100" s="49" t="e">
        <f t="shared" si="25"/>
        <v>#REF!</v>
      </c>
      <c r="U100" s="36">
        <v>0</v>
      </c>
      <c r="V100" s="36">
        <v>49472.9</v>
      </c>
      <c r="W100" s="36">
        <v>8757.4</v>
      </c>
      <c r="X100" s="36">
        <v>54508.2</v>
      </c>
      <c r="Y100" s="36">
        <v>0</v>
      </c>
      <c r="Z100" s="36">
        <v>44536.9</v>
      </c>
    </row>
    <row r="101" spans="1:26" s="2" customFormat="1" ht="25.5">
      <c r="A101" s="67"/>
      <c r="B101" s="65"/>
      <c r="C101" s="65" t="s">
        <v>17</v>
      </c>
      <c r="D101" s="68"/>
      <c r="E101" s="69" t="s">
        <v>219</v>
      </c>
      <c r="F101" s="51" t="e">
        <f>F102</f>
        <v>#REF!</v>
      </c>
      <c r="G101" s="51" t="e">
        <f t="shared" si="25"/>
        <v>#REF!</v>
      </c>
      <c r="H101" s="51" t="e">
        <f t="shared" si="25"/>
        <v>#REF!</v>
      </c>
      <c r="I101" s="49" t="e">
        <f t="shared" si="25"/>
        <v>#REF!</v>
      </c>
      <c r="J101" s="49" t="e">
        <f t="shared" si="25"/>
        <v>#REF!</v>
      </c>
      <c r="K101" s="49" t="e">
        <f t="shared" si="25"/>
        <v>#REF!</v>
      </c>
      <c r="L101" s="49" t="e">
        <f t="shared" si="25"/>
        <v>#REF!</v>
      </c>
      <c r="M101" s="49" t="e">
        <f t="shared" si="25"/>
        <v>#REF!</v>
      </c>
      <c r="N101" s="49" t="e">
        <f t="shared" si="25"/>
        <v>#REF!</v>
      </c>
      <c r="O101" s="49" t="e">
        <f t="shared" si="25"/>
        <v>#REF!</v>
      </c>
      <c r="P101" s="49" t="e">
        <f t="shared" si="25"/>
        <v>#REF!</v>
      </c>
      <c r="Q101" s="49" t="e">
        <f t="shared" si="25"/>
        <v>#REF!</v>
      </c>
      <c r="R101" s="49" t="e">
        <f t="shared" si="25"/>
        <v>#REF!</v>
      </c>
      <c r="S101" s="49" t="e">
        <f t="shared" si="25"/>
        <v>#REF!</v>
      </c>
      <c r="T101" s="49" t="e">
        <f t="shared" si="25"/>
        <v>#REF!</v>
      </c>
      <c r="U101" s="36">
        <v>0</v>
      </c>
      <c r="V101" s="36">
        <v>49472.9</v>
      </c>
      <c r="W101" s="36">
        <v>8757.4</v>
      </c>
      <c r="X101" s="36">
        <v>54508.2</v>
      </c>
      <c r="Y101" s="36">
        <v>0</v>
      </c>
      <c r="Z101" s="36">
        <v>44536.9</v>
      </c>
    </row>
    <row r="102" spans="1:26" s="2" customFormat="1" ht="76.5">
      <c r="A102" s="67"/>
      <c r="B102" s="65"/>
      <c r="C102" s="65" t="s">
        <v>18</v>
      </c>
      <c r="D102" s="68"/>
      <c r="E102" s="69" t="s">
        <v>150</v>
      </c>
      <c r="F102" s="51" t="e">
        <f>#REF!+F103</f>
        <v>#REF!</v>
      </c>
      <c r="G102" s="51" t="e">
        <f>#REF!+G103</f>
        <v>#REF!</v>
      </c>
      <c r="H102" s="51" t="e">
        <f>#REF!+H103</f>
        <v>#REF!</v>
      </c>
      <c r="I102" s="49" t="e">
        <f>#REF!+I103</f>
        <v>#REF!</v>
      </c>
      <c r="J102" s="49" t="e">
        <f>#REF!+J103</f>
        <v>#REF!</v>
      </c>
      <c r="K102" s="49" t="e">
        <f>#REF!+K103</f>
        <v>#REF!</v>
      </c>
      <c r="L102" s="49" t="e">
        <f>#REF!+L103</f>
        <v>#REF!</v>
      </c>
      <c r="M102" s="49" t="e">
        <f>#REF!+M103</f>
        <v>#REF!</v>
      </c>
      <c r="N102" s="49" t="e">
        <f>#REF!+N103</f>
        <v>#REF!</v>
      </c>
      <c r="O102" s="49" t="e">
        <f>#REF!+O103</f>
        <v>#REF!</v>
      </c>
      <c r="P102" s="49" t="e">
        <f>#REF!+P103</f>
        <v>#REF!</v>
      </c>
      <c r="Q102" s="49" t="e">
        <f>#REF!+Q103</f>
        <v>#REF!</v>
      </c>
      <c r="R102" s="49" t="e">
        <f>#REF!+R103</f>
        <v>#REF!</v>
      </c>
      <c r="S102" s="49" t="e">
        <f>#REF!+S103</f>
        <v>#REF!</v>
      </c>
      <c r="T102" s="49" t="e">
        <f>#REF!+T103</f>
        <v>#REF!</v>
      </c>
      <c r="U102" s="36">
        <v>0</v>
      </c>
      <c r="V102" s="36">
        <v>49472.9</v>
      </c>
      <c r="W102" s="36">
        <v>8757.4</v>
      </c>
      <c r="X102" s="36">
        <v>54508.2</v>
      </c>
      <c r="Y102" s="36">
        <v>0</v>
      </c>
      <c r="Z102" s="36">
        <v>44536.9</v>
      </c>
    </row>
    <row r="103" spans="1:26" s="2" customFormat="1" ht="25.5">
      <c r="A103" s="67"/>
      <c r="B103" s="65"/>
      <c r="C103" s="65" t="s">
        <v>158</v>
      </c>
      <c r="D103" s="68"/>
      <c r="E103" s="69" t="s">
        <v>19</v>
      </c>
      <c r="F103" s="51" t="e">
        <f>#REF!+F104+#REF!+#REF!</f>
        <v>#REF!</v>
      </c>
      <c r="G103" s="51" t="e">
        <f>#REF!+G104+#REF!+#REF!</f>
        <v>#REF!</v>
      </c>
      <c r="H103" s="51" t="e">
        <f>#REF!+H104+#REF!+#REF!</f>
        <v>#REF!</v>
      </c>
      <c r="I103" s="49" t="e">
        <f>#REF!+I104+#REF!+#REF!</f>
        <v>#REF!</v>
      </c>
      <c r="J103" s="49" t="e">
        <f>#REF!+J104+#REF!+#REF!</f>
        <v>#REF!</v>
      </c>
      <c r="K103" s="49" t="e">
        <f>#REF!+K104+#REF!+#REF!</f>
        <v>#REF!</v>
      </c>
      <c r="L103" s="49" t="e">
        <f>#REF!+L104+#REF!+#REF!</f>
        <v>#REF!</v>
      </c>
      <c r="M103" s="49" t="e">
        <f>#REF!+M104+#REF!+#REF!</f>
        <v>#REF!</v>
      </c>
      <c r="N103" s="49" t="e">
        <f>#REF!+N104+#REF!+#REF!</f>
        <v>#REF!</v>
      </c>
      <c r="O103" s="49" t="e">
        <f>#REF!+O104+#REF!+#REF!</f>
        <v>#REF!</v>
      </c>
      <c r="P103" s="49" t="e">
        <f>#REF!+P104+#REF!+#REF!</f>
        <v>#REF!</v>
      </c>
      <c r="Q103" s="49" t="e">
        <f>#REF!+Q104+#REF!+#REF!</f>
        <v>#REF!</v>
      </c>
      <c r="R103" s="49" t="e">
        <f>#REF!+R104+#REF!+#REF!</f>
        <v>#REF!</v>
      </c>
      <c r="S103" s="49" t="e">
        <f>#REF!+S104+#REF!+#REF!</f>
        <v>#REF!</v>
      </c>
      <c r="T103" s="49" t="e">
        <f>#REF!+T104+#REF!+#REF!</f>
        <v>#REF!</v>
      </c>
      <c r="U103" s="36">
        <v>0</v>
      </c>
      <c r="V103" s="36">
        <v>5657</v>
      </c>
      <c r="W103" s="36">
        <v>8757.4</v>
      </c>
      <c r="X103" s="36">
        <v>10771.3</v>
      </c>
      <c r="Y103" s="36">
        <v>0</v>
      </c>
      <c r="Z103" s="36">
        <v>800</v>
      </c>
    </row>
    <row r="104" spans="1:26" s="1" customFormat="1" ht="25.5">
      <c r="A104" s="78"/>
      <c r="B104" s="79"/>
      <c r="C104" s="65" t="s">
        <v>215</v>
      </c>
      <c r="D104" s="65"/>
      <c r="E104" s="90" t="s">
        <v>216</v>
      </c>
      <c r="F104" s="31">
        <f>F105</f>
        <v>45</v>
      </c>
      <c r="G104" s="31">
        <f aca="true" t="shared" si="26" ref="G104:T104">G105</f>
        <v>0</v>
      </c>
      <c r="H104" s="31">
        <f t="shared" si="26"/>
        <v>0</v>
      </c>
      <c r="I104" s="49">
        <f t="shared" si="26"/>
        <v>1213.2</v>
      </c>
      <c r="J104" s="49">
        <f t="shared" si="26"/>
        <v>1258.2</v>
      </c>
      <c r="K104" s="49">
        <f t="shared" si="26"/>
        <v>0</v>
      </c>
      <c r="L104" s="49">
        <f t="shared" si="26"/>
        <v>0</v>
      </c>
      <c r="M104" s="49">
        <f t="shared" si="26"/>
        <v>0</v>
      </c>
      <c r="N104" s="49">
        <f t="shared" si="26"/>
        <v>0</v>
      </c>
      <c r="O104" s="49"/>
      <c r="P104" s="49">
        <f t="shared" si="26"/>
        <v>1258.2</v>
      </c>
      <c r="Q104" s="49"/>
      <c r="R104" s="49">
        <f t="shared" si="26"/>
        <v>0</v>
      </c>
      <c r="S104" s="49"/>
      <c r="T104" s="49">
        <f t="shared" si="26"/>
        <v>0</v>
      </c>
      <c r="U104" s="36">
        <v>0</v>
      </c>
      <c r="V104" s="36">
        <v>1258.2</v>
      </c>
      <c r="W104" s="36">
        <v>8757.4</v>
      </c>
      <c r="X104" s="36">
        <v>8757.4</v>
      </c>
      <c r="Y104" s="36">
        <v>0</v>
      </c>
      <c r="Z104" s="36">
        <v>0</v>
      </c>
    </row>
    <row r="105" spans="1:26" s="1" customFormat="1" ht="38.25">
      <c r="A105" s="78"/>
      <c r="B105" s="79"/>
      <c r="C105" s="65"/>
      <c r="D105" s="65" t="s">
        <v>27</v>
      </c>
      <c r="E105" s="90" t="s">
        <v>105</v>
      </c>
      <c r="F105" s="31">
        <v>45</v>
      </c>
      <c r="G105" s="31">
        <v>0</v>
      </c>
      <c r="H105" s="31">
        <v>0</v>
      </c>
      <c r="I105" s="49">
        <f>181.4+1031.8</f>
        <v>1213.2</v>
      </c>
      <c r="J105" s="49">
        <f>F105+I105</f>
        <v>1258.2</v>
      </c>
      <c r="K105" s="49">
        <v>0</v>
      </c>
      <c r="L105" s="49">
        <f>G105+K105</f>
        <v>0</v>
      </c>
      <c r="M105" s="49">
        <v>0</v>
      </c>
      <c r="N105" s="49">
        <f>H105+M105</f>
        <v>0</v>
      </c>
      <c r="O105" s="49"/>
      <c r="P105" s="49">
        <f>J105+O105</f>
        <v>1258.2</v>
      </c>
      <c r="Q105" s="49"/>
      <c r="R105" s="49">
        <f>L105+Q105</f>
        <v>0</v>
      </c>
      <c r="S105" s="49"/>
      <c r="T105" s="49">
        <f>N105+S105</f>
        <v>0</v>
      </c>
      <c r="U105" s="36">
        <v>0</v>
      </c>
      <c r="V105" s="36">
        <v>1258.2</v>
      </c>
      <c r="W105" s="36">
        <v>8757.4</v>
      </c>
      <c r="X105" s="36">
        <v>8757.4</v>
      </c>
      <c r="Y105" s="36">
        <v>0</v>
      </c>
      <c r="Z105" s="36">
        <v>0</v>
      </c>
    </row>
    <row r="106" spans="1:26" s="3" customFormat="1" ht="38.25">
      <c r="A106" s="67"/>
      <c r="B106" s="65" t="s">
        <v>43</v>
      </c>
      <c r="C106" s="65"/>
      <c r="D106" s="65"/>
      <c r="E106" s="90" t="s">
        <v>40</v>
      </c>
      <c r="F106" s="51" t="e">
        <f>#REF!+F107</f>
        <v>#REF!</v>
      </c>
      <c r="G106" s="51" t="e">
        <f>#REF!+G107</f>
        <v>#REF!</v>
      </c>
      <c r="H106" s="51" t="e">
        <f>#REF!+H107</f>
        <v>#REF!</v>
      </c>
      <c r="I106" s="49" t="e">
        <f>#REF!+I107</f>
        <v>#REF!</v>
      </c>
      <c r="J106" s="49" t="e">
        <f>#REF!+J107</f>
        <v>#REF!</v>
      </c>
      <c r="K106" s="49" t="e">
        <f>#REF!+K107</f>
        <v>#REF!</v>
      </c>
      <c r="L106" s="49" t="e">
        <f>#REF!+L107</f>
        <v>#REF!</v>
      </c>
      <c r="M106" s="49" t="e">
        <f>#REF!+M107</f>
        <v>#REF!</v>
      </c>
      <c r="N106" s="49" t="e">
        <f>#REF!+N107</f>
        <v>#REF!</v>
      </c>
      <c r="O106" s="49" t="e">
        <f>#REF!+O107</f>
        <v>#REF!</v>
      </c>
      <c r="P106" s="49" t="e">
        <f>#REF!+P107</f>
        <v>#REF!</v>
      </c>
      <c r="Q106" s="49" t="e">
        <f>#REF!+Q107</f>
        <v>#REF!</v>
      </c>
      <c r="R106" s="49" t="e">
        <f>#REF!+R107</f>
        <v>#REF!</v>
      </c>
      <c r="S106" s="49" t="e">
        <f>#REF!+S107</f>
        <v>#REF!</v>
      </c>
      <c r="T106" s="49" t="e">
        <f>#REF!+T107</f>
        <v>#REF!</v>
      </c>
      <c r="U106" s="83">
        <v>-523.4</v>
      </c>
      <c r="V106" s="36">
        <v>11418.2</v>
      </c>
      <c r="W106" s="83">
        <v>-523.4</v>
      </c>
      <c r="X106" s="36">
        <v>919.6</v>
      </c>
      <c r="Y106" s="83">
        <v>-523.4</v>
      </c>
      <c r="Z106" s="36">
        <v>919.6</v>
      </c>
    </row>
    <row r="107" spans="1:26" s="5" customFormat="1" ht="25.5">
      <c r="A107" s="67"/>
      <c r="B107" s="65"/>
      <c r="C107" s="65" t="s">
        <v>17</v>
      </c>
      <c r="D107" s="70"/>
      <c r="E107" s="81" t="s">
        <v>219</v>
      </c>
      <c r="F107" s="51">
        <f aca="true" t="shared" si="27" ref="F107:T108">F108</f>
        <v>1046.8</v>
      </c>
      <c r="G107" s="51">
        <f t="shared" si="27"/>
        <v>1046.8</v>
      </c>
      <c r="H107" s="51">
        <f t="shared" si="27"/>
        <v>1046.8</v>
      </c>
      <c r="I107" s="49" t="e">
        <f t="shared" si="27"/>
        <v>#REF!</v>
      </c>
      <c r="J107" s="49" t="e">
        <f t="shared" si="27"/>
        <v>#REF!</v>
      </c>
      <c r="K107" s="49" t="e">
        <f t="shared" si="27"/>
        <v>#REF!</v>
      </c>
      <c r="L107" s="49" t="e">
        <f t="shared" si="27"/>
        <v>#REF!</v>
      </c>
      <c r="M107" s="49" t="e">
        <f t="shared" si="27"/>
        <v>#REF!</v>
      </c>
      <c r="N107" s="49" t="e">
        <f t="shared" si="27"/>
        <v>#REF!</v>
      </c>
      <c r="O107" s="49" t="e">
        <f t="shared" si="27"/>
        <v>#REF!</v>
      </c>
      <c r="P107" s="49" t="e">
        <f t="shared" si="27"/>
        <v>#REF!</v>
      </c>
      <c r="Q107" s="49" t="e">
        <f t="shared" si="27"/>
        <v>#REF!</v>
      </c>
      <c r="R107" s="49" t="e">
        <f t="shared" si="27"/>
        <v>#REF!</v>
      </c>
      <c r="S107" s="49" t="e">
        <f t="shared" si="27"/>
        <v>#REF!</v>
      </c>
      <c r="T107" s="49" t="e">
        <f t="shared" si="27"/>
        <v>#REF!</v>
      </c>
      <c r="U107" s="83">
        <v>-523.4</v>
      </c>
      <c r="V107" s="36">
        <v>11022</v>
      </c>
      <c r="W107" s="83">
        <v>-523.4</v>
      </c>
      <c r="X107" s="36">
        <v>523.4</v>
      </c>
      <c r="Y107" s="83">
        <v>-523.4</v>
      </c>
      <c r="Z107" s="36">
        <v>523.4</v>
      </c>
    </row>
    <row r="108" spans="1:26" s="5" customFormat="1" ht="38.25">
      <c r="A108" s="67"/>
      <c r="B108" s="65"/>
      <c r="C108" s="65" t="s">
        <v>111</v>
      </c>
      <c r="D108" s="70"/>
      <c r="E108" s="81" t="s">
        <v>112</v>
      </c>
      <c r="F108" s="51">
        <f t="shared" si="27"/>
        <v>1046.8</v>
      </c>
      <c r="G108" s="51">
        <f t="shared" si="27"/>
        <v>1046.8</v>
      </c>
      <c r="H108" s="51">
        <f t="shared" si="27"/>
        <v>1046.8</v>
      </c>
      <c r="I108" s="49" t="e">
        <f>I109+#REF!</f>
        <v>#REF!</v>
      </c>
      <c r="J108" s="49" t="e">
        <f>J109+#REF!</f>
        <v>#REF!</v>
      </c>
      <c r="K108" s="49" t="e">
        <f>K109+#REF!</f>
        <v>#REF!</v>
      </c>
      <c r="L108" s="49" t="e">
        <f>L109+#REF!</f>
        <v>#REF!</v>
      </c>
      <c r="M108" s="49" t="e">
        <f>M109+#REF!</f>
        <v>#REF!</v>
      </c>
      <c r="N108" s="49" t="e">
        <f>N109+#REF!</f>
        <v>#REF!</v>
      </c>
      <c r="O108" s="49" t="e">
        <f>O109+#REF!</f>
        <v>#REF!</v>
      </c>
      <c r="P108" s="49" t="e">
        <f>P109+#REF!</f>
        <v>#REF!</v>
      </c>
      <c r="Q108" s="49" t="e">
        <f>Q109+#REF!</f>
        <v>#REF!</v>
      </c>
      <c r="R108" s="49" t="e">
        <f>R109+#REF!</f>
        <v>#REF!</v>
      </c>
      <c r="S108" s="49" t="e">
        <f>S109+#REF!</f>
        <v>#REF!</v>
      </c>
      <c r="T108" s="49" t="e">
        <f>T109+#REF!</f>
        <v>#REF!</v>
      </c>
      <c r="U108" s="83">
        <v>-523.4</v>
      </c>
      <c r="V108" s="36">
        <v>11022</v>
      </c>
      <c r="W108" s="83">
        <v>-523.4</v>
      </c>
      <c r="X108" s="36">
        <v>523.4</v>
      </c>
      <c r="Y108" s="83">
        <v>-523.4</v>
      </c>
      <c r="Z108" s="36">
        <v>523.4</v>
      </c>
    </row>
    <row r="109" spans="1:26" s="5" customFormat="1" ht="38.25">
      <c r="A109" s="67"/>
      <c r="B109" s="65"/>
      <c r="C109" s="65" t="s">
        <v>191</v>
      </c>
      <c r="D109" s="70"/>
      <c r="E109" s="81" t="s">
        <v>192</v>
      </c>
      <c r="F109" s="51">
        <f aca="true" t="shared" si="28" ref="F109:T110">F110</f>
        <v>1046.8</v>
      </c>
      <c r="G109" s="51">
        <f t="shared" si="28"/>
        <v>1046.8</v>
      </c>
      <c r="H109" s="51">
        <f t="shared" si="28"/>
        <v>1046.8</v>
      </c>
      <c r="I109" s="49"/>
      <c r="J109" s="49">
        <f t="shared" si="28"/>
        <v>1046.8</v>
      </c>
      <c r="K109" s="49"/>
      <c r="L109" s="49">
        <f t="shared" si="28"/>
        <v>1046.8</v>
      </c>
      <c r="M109" s="49"/>
      <c r="N109" s="49">
        <f t="shared" si="28"/>
        <v>1046.8</v>
      </c>
      <c r="O109" s="49"/>
      <c r="P109" s="49">
        <f t="shared" si="28"/>
        <v>1046.8</v>
      </c>
      <c r="Q109" s="49"/>
      <c r="R109" s="49">
        <f t="shared" si="28"/>
        <v>1046.8</v>
      </c>
      <c r="S109" s="49"/>
      <c r="T109" s="49">
        <f t="shared" si="28"/>
        <v>1046.8</v>
      </c>
      <c r="U109" s="83">
        <v>-523.4</v>
      </c>
      <c r="V109" s="36">
        <v>523.4</v>
      </c>
      <c r="W109" s="83">
        <v>-523.4</v>
      </c>
      <c r="X109" s="36">
        <v>523.4</v>
      </c>
      <c r="Y109" s="83">
        <v>-523.4</v>
      </c>
      <c r="Z109" s="36">
        <v>523.4</v>
      </c>
    </row>
    <row r="110" spans="1:26" s="5" customFormat="1" ht="38.25">
      <c r="A110" s="67"/>
      <c r="B110" s="65"/>
      <c r="C110" s="65" t="s">
        <v>201</v>
      </c>
      <c r="D110" s="70"/>
      <c r="E110" s="81" t="s">
        <v>229</v>
      </c>
      <c r="F110" s="51">
        <f>F111</f>
        <v>1046.8</v>
      </c>
      <c r="G110" s="51">
        <f t="shared" si="28"/>
        <v>1046.8</v>
      </c>
      <c r="H110" s="51">
        <f t="shared" si="28"/>
        <v>1046.8</v>
      </c>
      <c r="I110" s="49"/>
      <c r="J110" s="49">
        <f t="shared" si="28"/>
        <v>1046.8</v>
      </c>
      <c r="K110" s="49"/>
      <c r="L110" s="49">
        <f t="shared" si="28"/>
        <v>1046.8</v>
      </c>
      <c r="M110" s="49"/>
      <c r="N110" s="49">
        <f t="shared" si="28"/>
        <v>1046.8</v>
      </c>
      <c r="O110" s="49"/>
      <c r="P110" s="49">
        <f t="shared" si="28"/>
        <v>1046.8</v>
      </c>
      <c r="Q110" s="49"/>
      <c r="R110" s="49">
        <f t="shared" si="28"/>
        <v>1046.8</v>
      </c>
      <c r="S110" s="49"/>
      <c r="T110" s="49">
        <f t="shared" si="28"/>
        <v>1046.8</v>
      </c>
      <c r="U110" s="83">
        <v>-523.4</v>
      </c>
      <c r="V110" s="36">
        <v>523.4</v>
      </c>
      <c r="W110" s="83">
        <v>-523.4</v>
      </c>
      <c r="X110" s="36">
        <v>523.4</v>
      </c>
      <c r="Y110" s="83">
        <v>-523.4</v>
      </c>
      <c r="Z110" s="36">
        <v>523.4</v>
      </c>
    </row>
    <row r="111" spans="1:26" s="5" customFormat="1" ht="38.25">
      <c r="A111" s="67"/>
      <c r="B111" s="65"/>
      <c r="C111" s="65"/>
      <c r="D111" s="70" t="s">
        <v>32</v>
      </c>
      <c r="E111" s="81" t="s">
        <v>33</v>
      </c>
      <c r="F111" s="51">
        <f>523.4+523.4</f>
        <v>1046.8</v>
      </c>
      <c r="G111" s="51">
        <f>523.4+523.4</f>
        <v>1046.8</v>
      </c>
      <c r="H111" s="51">
        <f>523.4+523.4</f>
        <v>1046.8</v>
      </c>
      <c r="I111" s="49"/>
      <c r="J111" s="49">
        <f>F111+I111</f>
        <v>1046.8</v>
      </c>
      <c r="K111" s="49"/>
      <c r="L111" s="49">
        <f>G111+K111</f>
        <v>1046.8</v>
      </c>
      <c r="M111" s="49"/>
      <c r="N111" s="49">
        <f>H111+M111</f>
        <v>1046.8</v>
      </c>
      <c r="O111" s="49"/>
      <c r="P111" s="49">
        <f>J111+O111</f>
        <v>1046.8</v>
      </c>
      <c r="Q111" s="49"/>
      <c r="R111" s="49">
        <f>L111+Q111</f>
        <v>1046.8</v>
      </c>
      <c r="S111" s="49"/>
      <c r="T111" s="49">
        <f>N111+S111</f>
        <v>1046.8</v>
      </c>
      <c r="U111" s="83">
        <v>-523.4</v>
      </c>
      <c r="V111" s="36">
        <v>523.4</v>
      </c>
      <c r="W111" s="83">
        <v>-523.4</v>
      </c>
      <c r="X111" s="36">
        <v>523.4</v>
      </c>
      <c r="Y111" s="83">
        <v>-523.4</v>
      </c>
      <c r="Z111" s="36">
        <v>523.4</v>
      </c>
    </row>
    <row r="112" spans="1:26" s="6" customFormat="1" ht="15">
      <c r="A112" s="64"/>
      <c r="B112" s="84" t="s">
        <v>71</v>
      </c>
      <c r="C112" s="65"/>
      <c r="D112" s="85"/>
      <c r="E112" s="111" t="s">
        <v>72</v>
      </c>
      <c r="F112" s="51" t="e">
        <f aca="true" t="shared" si="29" ref="F112:T112">F113+F137+F124</f>
        <v>#REF!</v>
      </c>
      <c r="G112" s="51" t="e">
        <f t="shared" si="29"/>
        <v>#REF!</v>
      </c>
      <c r="H112" s="51" t="e">
        <f t="shared" si="29"/>
        <v>#REF!</v>
      </c>
      <c r="I112" s="49" t="e">
        <f t="shared" si="29"/>
        <v>#REF!</v>
      </c>
      <c r="J112" s="49" t="e">
        <f t="shared" si="29"/>
        <v>#REF!</v>
      </c>
      <c r="K112" s="49" t="e">
        <f t="shared" si="29"/>
        <v>#REF!</v>
      </c>
      <c r="L112" s="49" t="e">
        <f t="shared" si="29"/>
        <v>#REF!</v>
      </c>
      <c r="M112" s="49" t="e">
        <f t="shared" si="29"/>
        <v>#REF!</v>
      </c>
      <c r="N112" s="49" t="e">
        <f t="shared" si="29"/>
        <v>#REF!</v>
      </c>
      <c r="O112" s="52" t="e">
        <f t="shared" si="29"/>
        <v>#REF!</v>
      </c>
      <c r="P112" s="49" t="e">
        <f t="shared" si="29"/>
        <v>#REF!</v>
      </c>
      <c r="Q112" s="49" t="e">
        <f t="shared" si="29"/>
        <v>#REF!</v>
      </c>
      <c r="R112" s="49" t="e">
        <f t="shared" si="29"/>
        <v>#REF!</v>
      </c>
      <c r="S112" s="52" t="e">
        <f t="shared" si="29"/>
        <v>#REF!</v>
      </c>
      <c r="T112" s="49" t="e">
        <f t="shared" si="29"/>
        <v>#REF!</v>
      </c>
      <c r="U112" s="83">
        <v>-48169.7</v>
      </c>
      <c r="V112" s="36">
        <v>182847.1</v>
      </c>
      <c r="W112" s="36">
        <v>49661</v>
      </c>
      <c r="X112" s="36">
        <v>290411.30000000005</v>
      </c>
      <c r="Y112" s="36">
        <v>2000</v>
      </c>
      <c r="Z112" s="36">
        <v>27300</v>
      </c>
    </row>
    <row r="113" spans="1:26" s="5" customFormat="1" ht="13.5" customHeight="1">
      <c r="A113" s="64"/>
      <c r="B113" s="112" t="s">
        <v>73</v>
      </c>
      <c r="C113" s="74"/>
      <c r="D113" s="113"/>
      <c r="E113" s="114" t="s">
        <v>74</v>
      </c>
      <c r="F113" s="31" t="e">
        <f aca="true" t="shared" si="30" ref="F113:T113">F114+F119</f>
        <v>#REF!</v>
      </c>
      <c r="G113" s="31" t="e">
        <f t="shared" si="30"/>
        <v>#REF!</v>
      </c>
      <c r="H113" s="31" t="e">
        <f t="shared" si="30"/>
        <v>#REF!</v>
      </c>
      <c r="I113" s="49" t="e">
        <f t="shared" si="30"/>
        <v>#REF!</v>
      </c>
      <c r="J113" s="49" t="e">
        <f t="shared" si="30"/>
        <v>#REF!</v>
      </c>
      <c r="K113" s="49" t="e">
        <f t="shared" si="30"/>
        <v>#REF!</v>
      </c>
      <c r="L113" s="49" t="e">
        <f t="shared" si="30"/>
        <v>#REF!</v>
      </c>
      <c r="M113" s="49" t="e">
        <f t="shared" si="30"/>
        <v>#REF!</v>
      </c>
      <c r="N113" s="49" t="e">
        <f t="shared" si="30"/>
        <v>#REF!</v>
      </c>
      <c r="O113" s="52" t="e">
        <f t="shared" si="30"/>
        <v>#REF!</v>
      </c>
      <c r="P113" s="49" t="e">
        <f t="shared" si="30"/>
        <v>#REF!</v>
      </c>
      <c r="Q113" s="49" t="e">
        <f t="shared" si="30"/>
        <v>#REF!</v>
      </c>
      <c r="R113" s="49" t="e">
        <f t="shared" si="30"/>
        <v>#REF!</v>
      </c>
      <c r="S113" s="49" t="e">
        <f t="shared" si="30"/>
        <v>#REF!</v>
      </c>
      <c r="T113" s="49" t="e">
        <f t="shared" si="30"/>
        <v>#REF!</v>
      </c>
      <c r="U113" s="83">
        <v>-42029.7</v>
      </c>
      <c r="V113" s="36">
        <v>83961.80000000002</v>
      </c>
      <c r="W113" s="36">
        <v>46455.6</v>
      </c>
      <c r="X113" s="36">
        <v>211417.90000000002</v>
      </c>
      <c r="Y113" s="36">
        <v>2000</v>
      </c>
      <c r="Z113" s="36">
        <v>3000</v>
      </c>
    </row>
    <row r="114" spans="1:26" s="6" customFormat="1" ht="25.5">
      <c r="A114" s="64"/>
      <c r="B114" s="72"/>
      <c r="C114" s="116" t="s">
        <v>128</v>
      </c>
      <c r="D114" s="116"/>
      <c r="E114" s="76" t="s">
        <v>151</v>
      </c>
      <c r="F114" s="31" t="e">
        <f aca="true" t="shared" si="31" ref="F114:H115">F115</f>
        <v>#REF!</v>
      </c>
      <c r="G114" s="31" t="e">
        <f t="shared" si="31"/>
        <v>#REF!</v>
      </c>
      <c r="H114" s="31" t="e">
        <f t="shared" si="31"/>
        <v>#REF!</v>
      </c>
      <c r="I114" s="49" t="e">
        <f>I115</f>
        <v>#REF!</v>
      </c>
      <c r="J114" s="49" t="e">
        <f>J115</f>
        <v>#REF!</v>
      </c>
      <c r="K114" s="49" t="e">
        <f aca="true" t="shared" si="32" ref="K114:N115">K115</f>
        <v>#REF!</v>
      </c>
      <c r="L114" s="49" t="e">
        <f t="shared" si="32"/>
        <v>#REF!</v>
      </c>
      <c r="M114" s="49" t="e">
        <f t="shared" si="32"/>
        <v>#REF!</v>
      </c>
      <c r="N114" s="49" t="e">
        <f t="shared" si="32"/>
        <v>#REF!</v>
      </c>
      <c r="O114" s="49" t="e">
        <f aca="true" t="shared" si="33" ref="O114:T115">O115</f>
        <v>#REF!</v>
      </c>
      <c r="P114" s="49" t="e">
        <f t="shared" si="33"/>
        <v>#REF!</v>
      </c>
      <c r="Q114" s="49" t="e">
        <f t="shared" si="33"/>
        <v>#REF!</v>
      </c>
      <c r="R114" s="49" t="e">
        <f t="shared" si="33"/>
        <v>#REF!</v>
      </c>
      <c r="S114" s="49" t="e">
        <f t="shared" si="33"/>
        <v>#REF!</v>
      </c>
      <c r="T114" s="49" t="e">
        <f t="shared" si="33"/>
        <v>#REF!</v>
      </c>
      <c r="U114" s="36">
        <v>2000</v>
      </c>
      <c r="V114" s="36">
        <v>12221.1</v>
      </c>
      <c r="W114" s="36">
        <v>2000</v>
      </c>
      <c r="X114" s="36">
        <v>6111.7</v>
      </c>
      <c r="Y114" s="36">
        <v>2000</v>
      </c>
      <c r="Z114" s="36">
        <v>3000</v>
      </c>
    </row>
    <row r="115" spans="1:26" s="6" customFormat="1" ht="15">
      <c r="A115" s="64"/>
      <c r="B115" s="72"/>
      <c r="C115" s="74" t="s">
        <v>129</v>
      </c>
      <c r="D115" s="113"/>
      <c r="E115" s="114" t="s">
        <v>166</v>
      </c>
      <c r="F115" s="31" t="e">
        <f t="shared" si="31"/>
        <v>#REF!</v>
      </c>
      <c r="G115" s="31" t="e">
        <f t="shared" si="31"/>
        <v>#REF!</v>
      </c>
      <c r="H115" s="31" t="e">
        <f t="shared" si="31"/>
        <v>#REF!</v>
      </c>
      <c r="I115" s="49" t="e">
        <f>I116</f>
        <v>#REF!</v>
      </c>
      <c r="J115" s="49" t="e">
        <f>J116</f>
        <v>#REF!</v>
      </c>
      <c r="K115" s="49" t="e">
        <f t="shared" si="32"/>
        <v>#REF!</v>
      </c>
      <c r="L115" s="49" t="e">
        <f t="shared" si="32"/>
        <v>#REF!</v>
      </c>
      <c r="M115" s="49" t="e">
        <f t="shared" si="32"/>
        <v>#REF!</v>
      </c>
      <c r="N115" s="49" t="e">
        <f t="shared" si="32"/>
        <v>#REF!</v>
      </c>
      <c r="O115" s="49" t="e">
        <f t="shared" si="33"/>
        <v>#REF!</v>
      </c>
      <c r="P115" s="49" t="e">
        <f t="shared" si="33"/>
        <v>#REF!</v>
      </c>
      <c r="Q115" s="49" t="e">
        <f t="shared" si="33"/>
        <v>#REF!</v>
      </c>
      <c r="R115" s="49" t="e">
        <f t="shared" si="33"/>
        <v>#REF!</v>
      </c>
      <c r="S115" s="49" t="e">
        <f t="shared" si="33"/>
        <v>#REF!</v>
      </c>
      <c r="T115" s="49" t="e">
        <f t="shared" si="33"/>
        <v>#REF!</v>
      </c>
      <c r="U115" s="36">
        <v>2000</v>
      </c>
      <c r="V115" s="36">
        <v>12221.1</v>
      </c>
      <c r="W115" s="36">
        <v>2000</v>
      </c>
      <c r="X115" s="36">
        <v>6111.7</v>
      </c>
      <c r="Y115" s="36">
        <v>2000</v>
      </c>
      <c r="Z115" s="36">
        <v>3000</v>
      </c>
    </row>
    <row r="116" spans="1:26" s="6" customFormat="1" ht="38.25">
      <c r="A116" s="64"/>
      <c r="B116" s="72"/>
      <c r="C116" s="74" t="s">
        <v>130</v>
      </c>
      <c r="D116" s="115"/>
      <c r="E116" s="109" t="s">
        <v>131</v>
      </c>
      <c r="F116" s="51" t="e">
        <f>#REF!+#REF!</f>
        <v>#REF!</v>
      </c>
      <c r="G116" s="51" t="e">
        <f>#REF!+#REF!</f>
        <v>#REF!</v>
      </c>
      <c r="H116" s="51" t="e">
        <f>#REF!+#REF!</f>
        <v>#REF!</v>
      </c>
      <c r="I116" s="49" t="e">
        <f>#REF!+#REF!+#REF!</f>
        <v>#REF!</v>
      </c>
      <c r="J116" s="49" t="e">
        <f>#REF!+#REF!+#REF!</f>
        <v>#REF!</v>
      </c>
      <c r="K116" s="49" t="e">
        <f>#REF!+#REF!+#REF!</f>
        <v>#REF!</v>
      </c>
      <c r="L116" s="49" t="e">
        <f>#REF!+#REF!+#REF!</f>
        <v>#REF!</v>
      </c>
      <c r="M116" s="49" t="e">
        <f>#REF!+#REF!+#REF!</f>
        <v>#REF!</v>
      </c>
      <c r="N116" s="49" t="e">
        <f>#REF!+#REF!+#REF!</f>
        <v>#REF!</v>
      </c>
      <c r="O116" s="49" t="e">
        <f>#REF!+#REF!+#REF!</f>
        <v>#REF!</v>
      </c>
      <c r="P116" s="49" t="e">
        <f>#REF!+#REF!+#REF!</f>
        <v>#REF!</v>
      </c>
      <c r="Q116" s="49" t="e">
        <f>#REF!+#REF!+#REF!</f>
        <v>#REF!</v>
      </c>
      <c r="R116" s="49" t="e">
        <f>#REF!+#REF!+#REF!</f>
        <v>#REF!</v>
      </c>
      <c r="S116" s="49" t="e">
        <f>#REF!+#REF!+#REF!</f>
        <v>#REF!</v>
      </c>
      <c r="T116" s="49" t="e">
        <f>#REF!+#REF!+#REF!</f>
        <v>#REF!</v>
      </c>
      <c r="U116" s="36">
        <v>2000</v>
      </c>
      <c r="V116" s="36">
        <v>12221.1</v>
      </c>
      <c r="W116" s="36">
        <v>2000</v>
      </c>
      <c r="X116" s="36">
        <v>6111.7</v>
      </c>
      <c r="Y116" s="36">
        <v>2000</v>
      </c>
      <c r="Z116" s="36">
        <v>3000</v>
      </c>
    </row>
    <row r="117" spans="1:26" s="6" customFormat="1" ht="38.25">
      <c r="A117" s="64"/>
      <c r="B117" s="72"/>
      <c r="C117" s="74" t="s">
        <v>265</v>
      </c>
      <c r="D117" s="97"/>
      <c r="E117" s="90" t="s">
        <v>264</v>
      </c>
      <c r="F117" s="51"/>
      <c r="G117" s="51"/>
      <c r="H117" s="51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36">
        <v>2000</v>
      </c>
      <c r="V117" s="36">
        <v>2000</v>
      </c>
      <c r="W117" s="36">
        <v>2000</v>
      </c>
      <c r="X117" s="36">
        <v>2000</v>
      </c>
      <c r="Y117" s="36">
        <v>2000</v>
      </c>
      <c r="Z117" s="36">
        <v>2000</v>
      </c>
    </row>
    <row r="118" spans="1:26" s="6" customFormat="1" ht="15">
      <c r="A118" s="64"/>
      <c r="B118" s="72"/>
      <c r="C118" s="74"/>
      <c r="D118" s="97" t="s">
        <v>28</v>
      </c>
      <c r="E118" s="90" t="s">
        <v>29</v>
      </c>
      <c r="F118" s="51"/>
      <c r="G118" s="51"/>
      <c r="H118" s="51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36">
        <v>2000</v>
      </c>
      <c r="V118" s="36">
        <v>2000</v>
      </c>
      <c r="W118" s="36">
        <v>2000</v>
      </c>
      <c r="X118" s="36">
        <v>2000</v>
      </c>
      <c r="Y118" s="36">
        <v>2000</v>
      </c>
      <c r="Z118" s="36">
        <v>2000</v>
      </c>
    </row>
    <row r="119" spans="1:26" s="6" customFormat="1" ht="25.5">
      <c r="A119" s="64"/>
      <c r="B119" s="72"/>
      <c r="C119" s="65" t="s">
        <v>172</v>
      </c>
      <c r="D119" s="97"/>
      <c r="E119" s="69" t="s">
        <v>217</v>
      </c>
      <c r="F119" s="51" t="e">
        <f aca="true" t="shared" si="34" ref="F119:T122">F120</f>
        <v>#REF!</v>
      </c>
      <c r="G119" s="51" t="e">
        <f t="shared" si="34"/>
        <v>#REF!</v>
      </c>
      <c r="H119" s="51" t="e">
        <f t="shared" si="34"/>
        <v>#REF!</v>
      </c>
      <c r="I119" s="49" t="e">
        <f t="shared" si="34"/>
        <v>#REF!</v>
      </c>
      <c r="J119" s="49" t="e">
        <f t="shared" si="34"/>
        <v>#REF!</v>
      </c>
      <c r="K119" s="49" t="e">
        <f t="shared" si="34"/>
        <v>#REF!</v>
      </c>
      <c r="L119" s="49" t="e">
        <f t="shared" si="34"/>
        <v>#REF!</v>
      </c>
      <c r="M119" s="49" t="e">
        <f t="shared" si="34"/>
        <v>#REF!</v>
      </c>
      <c r="N119" s="49" t="e">
        <f t="shared" si="34"/>
        <v>#REF!</v>
      </c>
      <c r="O119" s="52" t="e">
        <f t="shared" si="34"/>
        <v>#REF!</v>
      </c>
      <c r="P119" s="49" t="e">
        <f t="shared" si="34"/>
        <v>#REF!</v>
      </c>
      <c r="Q119" s="49" t="e">
        <f t="shared" si="34"/>
        <v>#REF!</v>
      </c>
      <c r="R119" s="49" t="e">
        <f t="shared" si="34"/>
        <v>#REF!</v>
      </c>
      <c r="S119" s="49" t="e">
        <f t="shared" si="34"/>
        <v>#REF!</v>
      </c>
      <c r="T119" s="49" t="e">
        <f t="shared" si="34"/>
        <v>#REF!</v>
      </c>
      <c r="U119" s="83">
        <v>-44029.7</v>
      </c>
      <c r="V119" s="36">
        <v>71740.70000000001</v>
      </c>
      <c r="W119" s="36">
        <v>44455.6</v>
      </c>
      <c r="X119" s="36">
        <v>205306.2</v>
      </c>
      <c r="Y119" s="36">
        <v>0</v>
      </c>
      <c r="Z119" s="36">
        <v>0</v>
      </c>
    </row>
    <row r="120" spans="1:26" s="6" customFormat="1" ht="25.5">
      <c r="A120" s="64"/>
      <c r="B120" s="72"/>
      <c r="C120" s="65" t="s">
        <v>175</v>
      </c>
      <c r="D120" s="97"/>
      <c r="E120" s="69" t="s">
        <v>147</v>
      </c>
      <c r="F120" s="51" t="e">
        <f t="shared" si="34"/>
        <v>#REF!</v>
      </c>
      <c r="G120" s="51" t="e">
        <f t="shared" si="34"/>
        <v>#REF!</v>
      </c>
      <c r="H120" s="51" t="e">
        <f t="shared" si="34"/>
        <v>#REF!</v>
      </c>
      <c r="I120" s="49" t="e">
        <f t="shared" si="34"/>
        <v>#REF!</v>
      </c>
      <c r="J120" s="49" t="e">
        <f t="shared" si="34"/>
        <v>#REF!</v>
      </c>
      <c r="K120" s="49" t="e">
        <f t="shared" si="34"/>
        <v>#REF!</v>
      </c>
      <c r="L120" s="49" t="e">
        <f t="shared" si="34"/>
        <v>#REF!</v>
      </c>
      <c r="M120" s="49" t="e">
        <f t="shared" si="34"/>
        <v>#REF!</v>
      </c>
      <c r="N120" s="49" t="e">
        <f t="shared" si="34"/>
        <v>#REF!</v>
      </c>
      <c r="O120" s="52" t="e">
        <f t="shared" si="34"/>
        <v>#REF!</v>
      </c>
      <c r="P120" s="49" t="e">
        <f t="shared" si="34"/>
        <v>#REF!</v>
      </c>
      <c r="Q120" s="49" t="e">
        <f t="shared" si="34"/>
        <v>#REF!</v>
      </c>
      <c r="R120" s="49" t="e">
        <f t="shared" si="34"/>
        <v>#REF!</v>
      </c>
      <c r="S120" s="49" t="e">
        <f t="shared" si="34"/>
        <v>#REF!</v>
      </c>
      <c r="T120" s="49" t="e">
        <f t="shared" si="34"/>
        <v>#REF!</v>
      </c>
      <c r="U120" s="83">
        <v>-44029.7</v>
      </c>
      <c r="V120" s="36">
        <v>71740.70000000001</v>
      </c>
      <c r="W120" s="36">
        <v>44455.6</v>
      </c>
      <c r="X120" s="36">
        <v>205306.2</v>
      </c>
      <c r="Y120" s="36">
        <v>0</v>
      </c>
      <c r="Z120" s="36">
        <v>0</v>
      </c>
    </row>
    <row r="121" spans="1:26" s="6" customFormat="1" ht="38.25">
      <c r="A121" s="64"/>
      <c r="B121" s="72"/>
      <c r="C121" s="65" t="s">
        <v>176</v>
      </c>
      <c r="D121" s="97"/>
      <c r="E121" s="69" t="s">
        <v>177</v>
      </c>
      <c r="F121" s="51" t="e">
        <f>F122+#REF!</f>
        <v>#REF!</v>
      </c>
      <c r="G121" s="51" t="e">
        <f>G122+#REF!</f>
        <v>#REF!</v>
      </c>
      <c r="H121" s="51" t="e">
        <f>H122+#REF!</f>
        <v>#REF!</v>
      </c>
      <c r="I121" s="49" t="e">
        <f>I122+#REF!</f>
        <v>#REF!</v>
      </c>
      <c r="J121" s="49" t="e">
        <f>J122+#REF!</f>
        <v>#REF!</v>
      </c>
      <c r="K121" s="49" t="e">
        <f>K122+#REF!</f>
        <v>#REF!</v>
      </c>
      <c r="L121" s="49" t="e">
        <f>L122+#REF!</f>
        <v>#REF!</v>
      </c>
      <c r="M121" s="49" t="e">
        <f>M122+#REF!</f>
        <v>#REF!</v>
      </c>
      <c r="N121" s="49" t="e">
        <f>N122+#REF!</f>
        <v>#REF!</v>
      </c>
      <c r="O121" s="52" t="e">
        <f>O122+#REF!</f>
        <v>#REF!</v>
      </c>
      <c r="P121" s="49" t="e">
        <f>P122+#REF!</f>
        <v>#REF!</v>
      </c>
      <c r="Q121" s="49" t="e">
        <f>Q122+#REF!</f>
        <v>#REF!</v>
      </c>
      <c r="R121" s="49" t="e">
        <f>R122+#REF!</f>
        <v>#REF!</v>
      </c>
      <c r="S121" s="49" t="e">
        <f>S122+#REF!</f>
        <v>#REF!</v>
      </c>
      <c r="T121" s="49" t="e">
        <f>T122+#REF!</f>
        <v>#REF!</v>
      </c>
      <c r="U121" s="83">
        <v>-44029.7</v>
      </c>
      <c r="V121" s="36">
        <v>71740.70000000001</v>
      </c>
      <c r="W121" s="36">
        <v>44455.6</v>
      </c>
      <c r="X121" s="36">
        <v>205306.2</v>
      </c>
      <c r="Y121" s="36">
        <v>0</v>
      </c>
      <c r="Z121" s="36">
        <v>0</v>
      </c>
    </row>
    <row r="122" spans="1:26" s="1" customFormat="1" ht="25.5">
      <c r="A122" s="67"/>
      <c r="B122" s="65"/>
      <c r="C122" s="65" t="s">
        <v>113</v>
      </c>
      <c r="D122" s="97"/>
      <c r="E122" s="90" t="s">
        <v>226</v>
      </c>
      <c r="F122" s="51">
        <f t="shared" si="34"/>
        <v>160850.6</v>
      </c>
      <c r="G122" s="51">
        <f t="shared" si="34"/>
        <v>0</v>
      </c>
      <c r="H122" s="51">
        <f t="shared" si="34"/>
        <v>0</v>
      </c>
      <c r="I122" s="49">
        <f t="shared" si="34"/>
        <v>107832.59999999999</v>
      </c>
      <c r="J122" s="49">
        <f t="shared" si="34"/>
        <v>268683.2</v>
      </c>
      <c r="K122" s="49">
        <f t="shared" si="34"/>
        <v>0</v>
      </c>
      <c r="L122" s="49">
        <f t="shared" si="34"/>
        <v>0</v>
      </c>
      <c r="M122" s="49">
        <f t="shared" si="34"/>
        <v>0</v>
      </c>
      <c r="N122" s="49">
        <f t="shared" si="34"/>
        <v>0</v>
      </c>
      <c r="O122" s="52">
        <f t="shared" si="34"/>
        <v>-160850.6</v>
      </c>
      <c r="P122" s="49">
        <f t="shared" si="34"/>
        <v>107832.6</v>
      </c>
      <c r="Q122" s="49">
        <f t="shared" si="34"/>
        <v>160850.6</v>
      </c>
      <c r="R122" s="49">
        <f t="shared" si="34"/>
        <v>160850.6</v>
      </c>
      <c r="S122" s="49">
        <f t="shared" si="34"/>
        <v>0</v>
      </c>
      <c r="T122" s="49">
        <f t="shared" si="34"/>
        <v>0</v>
      </c>
      <c r="U122" s="83">
        <v>-44029.7</v>
      </c>
      <c r="V122" s="36">
        <v>63802.90000000001</v>
      </c>
      <c r="W122" s="36">
        <v>44455.6</v>
      </c>
      <c r="X122" s="36">
        <v>205306.2</v>
      </c>
      <c r="Y122" s="36">
        <v>0</v>
      </c>
      <c r="Z122" s="36">
        <v>0</v>
      </c>
    </row>
    <row r="123" spans="1:26" s="1" customFormat="1" ht="38.25">
      <c r="A123" s="67"/>
      <c r="B123" s="65"/>
      <c r="C123" s="65"/>
      <c r="D123" s="97" t="s">
        <v>27</v>
      </c>
      <c r="E123" s="90" t="s">
        <v>105</v>
      </c>
      <c r="F123" s="51">
        <v>160850.6</v>
      </c>
      <c r="G123" s="51">
        <v>0</v>
      </c>
      <c r="H123" s="51">
        <v>0</v>
      </c>
      <c r="I123" s="49">
        <f>1632.7+4700.7+101499.2</f>
        <v>107832.59999999999</v>
      </c>
      <c r="J123" s="49">
        <f>F123+I123</f>
        <v>268683.2</v>
      </c>
      <c r="K123" s="49">
        <v>0</v>
      </c>
      <c r="L123" s="49">
        <f>G123+K123</f>
        <v>0</v>
      </c>
      <c r="M123" s="49">
        <v>0</v>
      </c>
      <c r="N123" s="49">
        <f>H123+M123</f>
        <v>0</v>
      </c>
      <c r="O123" s="52">
        <v>-160850.6</v>
      </c>
      <c r="P123" s="49">
        <f>J123+O123</f>
        <v>107832.6</v>
      </c>
      <c r="Q123" s="49">
        <v>160850.6</v>
      </c>
      <c r="R123" s="49">
        <f>L123+Q123</f>
        <v>160850.6</v>
      </c>
      <c r="S123" s="49">
        <v>0</v>
      </c>
      <c r="T123" s="49">
        <f>N123+S123</f>
        <v>0</v>
      </c>
      <c r="U123" s="37">
        <v>-44029.7</v>
      </c>
      <c r="V123" s="36">
        <v>63802.90000000001</v>
      </c>
      <c r="W123" s="36">
        <v>44455.6</v>
      </c>
      <c r="X123" s="36">
        <v>205306.2</v>
      </c>
      <c r="Y123" s="36">
        <v>0</v>
      </c>
      <c r="Z123" s="36">
        <v>0</v>
      </c>
    </row>
    <row r="124" spans="1:26" s="6" customFormat="1" ht="15">
      <c r="A124" s="67"/>
      <c r="B124" s="115" t="s">
        <v>109</v>
      </c>
      <c r="C124" s="74"/>
      <c r="D124" s="115"/>
      <c r="E124" s="117" t="s">
        <v>110</v>
      </c>
      <c r="F124" s="51" t="e">
        <f>F125</f>
        <v>#REF!</v>
      </c>
      <c r="G124" s="51" t="e">
        <f>G125</f>
        <v>#REF!</v>
      </c>
      <c r="H124" s="51" t="e">
        <f>H125</f>
        <v>#REF!</v>
      </c>
      <c r="I124" s="49" t="e">
        <f aca="true" t="shared" si="35" ref="I124:T124">I125</f>
        <v>#REF!</v>
      </c>
      <c r="J124" s="49" t="e">
        <f t="shared" si="35"/>
        <v>#REF!</v>
      </c>
      <c r="K124" s="49" t="e">
        <f t="shared" si="35"/>
        <v>#REF!</v>
      </c>
      <c r="L124" s="49" t="e">
        <f t="shared" si="35"/>
        <v>#REF!</v>
      </c>
      <c r="M124" s="49" t="e">
        <f t="shared" si="35"/>
        <v>#REF!</v>
      </c>
      <c r="N124" s="49" t="e">
        <f t="shared" si="35"/>
        <v>#REF!</v>
      </c>
      <c r="O124" s="49" t="e">
        <f t="shared" si="35"/>
        <v>#REF!</v>
      </c>
      <c r="P124" s="49" t="e">
        <f t="shared" si="35"/>
        <v>#REF!</v>
      </c>
      <c r="Q124" s="49" t="e">
        <f t="shared" si="35"/>
        <v>#REF!</v>
      </c>
      <c r="R124" s="49" t="e">
        <f t="shared" si="35"/>
        <v>#REF!</v>
      </c>
      <c r="S124" s="52" t="e">
        <f t="shared" si="35"/>
        <v>#REF!</v>
      </c>
      <c r="T124" s="49" t="e">
        <f t="shared" si="35"/>
        <v>#REF!</v>
      </c>
      <c r="U124" s="83">
        <v>-5646.400000000001</v>
      </c>
      <c r="V124" s="36">
        <v>96885.29999999999</v>
      </c>
      <c r="W124" s="36">
        <v>3205.4</v>
      </c>
      <c r="X124" s="36">
        <v>46993.4</v>
      </c>
      <c r="Y124" s="36">
        <v>0</v>
      </c>
      <c r="Z124" s="36">
        <v>0</v>
      </c>
    </row>
    <row r="125" spans="1:26" s="6" customFormat="1" ht="25.5">
      <c r="A125" s="64"/>
      <c r="B125" s="72"/>
      <c r="C125" s="116" t="s">
        <v>128</v>
      </c>
      <c r="D125" s="116"/>
      <c r="E125" s="76" t="s">
        <v>151</v>
      </c>
      <c r="F125" s="31" t="e">
        <f>#REF!+F126+#REF!+F133</f>
        <v>#REF!</v>
      </c>
      <c r="G125" s="31" t="e">
        <f>#REF!+G126+#REF!+G133</f>
        <v>#REF!</v>
      </c>
      <c r="H125" s="31" t="e">
        <f>#REF!+H126+#REF!+H133</f>
        <v>#REF!</v>
      </c>
      <c r="I125" s="49" t="e">
        <f>#REF!+I126+#REF!+I133</f>
        <v>#REF!</v>
      </c>
      <c r="J125" s="49" t="e">
        <f>#REF!+J126+#REF!+J133</f>
        <v>#REF!</v>
      </c>
      <c r="K125" s="49" t="e">
        <f>#REF!+K126+#REF!+K133</f>
        <v>#REF!</v>
      </c>
      <c r="L125" s="49" t="e">
        <f>#REF!+L126+#REF!+L133</f>
        <v>#REF!</v>
      </c>
      <c r="M125" s="49" t="e">
        <f>#REF!+M126+#REF!+M133</f>
        <v>#REF!</v>
      </c>
      <c r="N125" s="49" t="e">
        <f>#REF!+N126+#REF!+N133</f>
        <v>#REF!</v>
      </c>
      <c r="O125" s="49" t="e">
        <f>#REF!+O126+#REF!+O133</f>
        <v>#REF!</v>
      </c>
      <c r="P125" s="49" t="e">
        <f>#REF!+P126+#REF!+P133</f>
        <v>#REF!</v>
      </c>
      <c r="Q125" s="49" t="e">
        <f>#REF!+Q126+#REF!+Q133</f>
        <v>#REF!</v>
      </c>
      <c r="R125" s="49" t="e">
        <f>#REF!+R126+#REF!+R133</f>
        <v>#REF!</v>
      </c>
      <c r="S125" s="52" t="e">
        <f>#REF!+S126+#REF!+S133</f>
        <v>#REF!</v>
      </c>
      <c r="T125" s="49" t="e">
        <f>#REF!+T126+#REF!+T133</f>
        <v>#REF!</v>
      </c>
      <c r="U125" s="83">
        <v>-5646.400000000001</v>
      </c>
      <c r="V125" s="36">
        <v>96885.29999999999</v>
      </c>
      <c r="W125" s="36">
        <v>3205.4</v>
      </c>
      <c r="X125" s="36">
        <v>46993.4</v>
      </c>
      <c r="Y125" s="36">
        <v>0</v>
      </c>
      <c r="Z125" s="36">
        <v>0</v>
      </c>
    </row>
    <row r="126" spans="1:26" s="6" customFormat="1" ht="38.25">
      <c r="A126" s="64"/>
      <c r="B126" s="72"/>
      <c r="C126" s="74" t="s">
        <v>209</v>
      </c>
      <c r="D126" s="80"/>
      <c r="E126" s="90" t="s">
        <v>232</v>
      </c>
      <c r="F126" s="51" t="e">
        <f aca="true" t="shared" si="36" ref="F126:N126">F130+F127</f>
        <v>#REF!</v>
      </c>
      <c r="G126" s="51" t="e">
        <f t="shared" si="36"/>
        <v>#REF!</v>
      </c>
      <c r="H126" s="51" t="e">
        <f t="shared" si="36"/>
        <v>#REF!</v>
      </c>
      <c r="I126" s="49" t="e">
        <f t="shared" si="36"/>
        <v>#REF!</v>
      </c>
      <c r="J126" s="49" t="e">
        <f t="shared" si="36"/>
        <v>#REF!</v>
      </c>
      <c r="K126" s="49" t="e">
        <f t="shared" si="36"/>
        <v>#REF!</v>
      </c>
      <c r="L126" s="49" t="e">
        <f t="shared" si="36"/>
        <v>#REF!</v>
      </c>
      <c r="M126" s="49" t="e">
        <f t="shared" si="36"/>
        <v>#REF!</v>
      </c>
      <c r="N126" s="49" t="e">
        <f t="shared" si="36"/>
        <v>#REF!</v>
      </c>
      <c r="O126" s="49"/>
      <c r="P126" s="49" t="e">
        <f>P130+P127</f>
        <v>#REF!</v>
      </c>
      <c r="Q126" s="49"/>
      <c r="R126" s="49" t="e">
        <f>R130+R127</f>
        <v>#REF!</v>
      </c>
      <c r="S126" s="49"/>
      <c r="T126" s="49" t="e">
        <f>T130+T127</f>
        <v>#REF!</v>
      </c>
      <c r="U126" s="83">
        <v>-2441.0000000000005</v>
      </c>
      <c r="V126" s="36">
        <v>59643.899999999994</v>
      </c>
      <c r="W126" s="36">
        <v>0</v>
      </c>
      <c r="X126" s="36">
        <v>2124.8</v>
      </c>
      <c r="Y126" s="36">
        <v>0</v>
      </c>
      <c r="Z126" s="36">
        <v>0</v>
      </c>
    </row>
    <row r="127" spans="1:26" s="6" customFormat="1" ht="38.25">
      <c r="A127" s="64"/>
      <c r="B127" s="72"/>
      <c r="C127" s="74" t="s">
        <v>210</v>
      </c>
      <c r="D127" s="80"/>
      <c r="E127" s="90" t="s">
        <v>221</v>
      </c>
      <c r="F127" s="51" t="e">
        <f>#REF!+F128+#REF!+#REF!</f>
        <v>#REF!</v>
      </c>
      <c r="G127" s="51" t="e">
        <f>#REF!+G128+#REF!+#REF!</f>
        <v>#REF!</v>
      </c>
      <c r="H127" s="51" t="e">
        <f>#REF!+H128+#REF!+#REF!</f>
        <v>#REF!</v>
      </c>
      <c r="I127" s="49" t="e">
        <f>#REF!+I128+#REF!+#REF!</f>
        <v>#REF!</v>
      </c>
      <c r="J127" s="49" t="e">
        <f>#REF!+J128+#REF!+#REF!</f>
        <v>#REF!</v>
      </c>
      <c r="K127" s="49" t="e">
        <f>#REF!+K128+#REF!+#REF!</f>
        <v>#REF!</v>
      </c>
      <c r="L127" s="49" t="e">
        <f>#REF!+L128+#REF!+#REF!</f>
        <v>#REF!</v>
      </c>
      <c r="M127" s="49" t="e">
        <f>#REF!+M128+#REF!+#REF!</f>
        <v>#REF!</v>
      </c>
      <c r="N127" s="49" t="e">
        <f>#REF!+N128+#REF!+#REF!</f>
        <v>#REF!</v>
      </c>
      <c r="O127" s="49"/>
      <c r="P127" s="49" t="e">
        <f>#REF!+P128+#REF!+#REF!</f>
        <v>#REF!</v>
      </c>
      <c r="Q127" s="49"/>
      <c r="R127" s="49" t="e">
        <f>#REF!+R128+#REF!+#REF!</f>
        <v>#REF!</v>
      </c>
      <c r="S127" s="49"/>
      <c r="T127" s="49" t="e">
        <f>#REF!+T128+#REF!+#REF!</f>
        <v>#REF!</v>
      </c>
      <c r="U127" s="36">
        <v>3257.1</v>
      </c>
      <c r="V127" s="36">
        <v>37289.6</v>
      </c>
      <c r="W127" s="36">
        <v>0</v>
      </c>
      <c r="X127" s="36">
        <v>0</v>
      </c>
      <c r="Y127" s="36">
        <v>0</v>
      </c>
      <c r="Z127" s="36">
        <v>0</v>
      </c>
    </row>
    <row r="128" spans="1:26" s="6" customFormat="1" ht="28.5" customHeight="1">
      <c r="A128" s="64"/>
      <c r="B128" s="72"/>
      <c r="C128" s="74" t="s">
        <v>259</v>
      </c>
      <c r="D128" s="80"/>
      <c r="E128" s="90" t="s">
        <v>260</v>
      </c>
      <c r="F128" s="51">
        <f>F129</f>
        <v>0</v>
      </c>
      <c r="G128" s="51">
        <f aca="true" t="shared" si="37" ref="G128:N128">G129</f>
        <v>0</v>
      </c>
      <c r="H128" s="51">
        <f t="shared" si="37"/>
        <v>0</v>
      </c>
      <c r="I128" s="49">
        <f t="shared" si="37"/>
        <v>0</v>
      </c>
      <c r="J128" s="49">
        <f t="shared" si="37"/>
        <v>0</v>
      </c>
      <c r="K128" s="49">
        <f t="shared" si="37"/>
        <v>0</v>
      </c>
      <c r="L128" s="49">
        <f t="shared" si="37"/>
        <v>0</v>
      </c>
      <c r="M128" s="49">
        <f t="shared" si="37"/>
        <v>0</v>
      </c>
      <c r="N128" s="49">
        <f t="shared" si="37"/>
        <v>0</v>
      </c>
      <c r="O128" s="49"/>
      <c r="P128" s="49">
        <f>P129</f>
        <v>0</v>
      </c>
      <c r="Q128" s="49"/>
      <c r="R128" s="49">
        <f>R129</f>
        <v>0</v>
      </c>
      <c r="S128" s="49"/>
      <c r="T128" s="49">
        <f>T129</f>
        <v>0</v>
      </c>
      <c r="U128" s="36">
        <v>3257.1</v>
      </c>
      <c r="V128" s="36">
        <v>3257.1</v>
      </c>
      <c r="W128" s="36">
        <v>0</v>
      </c>
      <c r="X128" s="36">
        <v>0</v>
      </c>
      <c r="Y128" s="36">
        <v>0</v>
      </c>
      <c r="Z128" s="36">
        <v>0</v>
      </c>
    </row>
    <row r="129" spans="1:26" s="6" customFormat="1" ht="38.25">
      <c r="A129" s="64"/>
      <c r="B129" s="72"/>
      <c r="C129" s="74"/>
      <c r="D129" s="80" t="s">
        <v>27</v>
      </c>
      <c r="E129" s="90" t="s">
        <v>105</v>
      </c>
      <c r="F129" s="51"/>
      <c r="G129" s="51"/>
      <c r="H129" s="51"/>
      <c r="I129" s="49"/>
      <c r="J129" s="49"/>
      <c r="K129" s="49"/>
      <c r="L129" s="49"/>
      <c r="M129" s="49"/>
      <c r="N129" s="49"/>
      <c r="O129" s="49"/>
      <c r="P129" s="49">
        <f>J129+O129</f>
        <v>0</v>
      </c>
      <c r="Q129" s="49"/>
      <c r="R129" s="49">
        <f>L129+Q129</f>
        <v>0</v>
      </c>
      <c r="S129" s="49"/>
      <c r="T129" s="49">
        <f>N129+S129</f>
        <v>0</v>
      </c>
      <c r="U129" s="36">
        <v>3257.1</v>
      </c>
      <c r="V129" s="36">
        <v>3257.1</v>
      </c>
      <c r="W129" s="36">
        <v>0</v>
      </c>
      <c r="X129" s="36">
        <v>0</v>
      </c>
      <c r="Y129" s="36">
        <v>0</v>
      </c>
      <c r="Z129" s="36">
        <v>0</v>
      </c>
    </row>
    <row r="130" spans="1:26" s="6" customFormat="1" ht="38.25">
      <c r="A130" s="64"/>
      <c r="B130" s="72"/>
      <c r="C130" s="74" t="s">
        <v>211</v>
      </c>
      <c r="D130" s="80"/>
      <c r="E130" s="90" t="s">
        <v>117</v>
      </c>
      <c r="F130" s="51" t="e">
        <f>#REF!+#REF!+F131+#REF!+#REF!</f>
        <v>#REF!</v>
      </c>
      <c r="G130" s="51" t="e">
        <f>#REF!+#REF!+G131+#REF!+#REF!</f>
        <v>#REF!</v>
      </c>
      <c r="H130" s="51" t="e">
        <f>#REF!+#REF!+H131+#REF!+#REF!</f>
        <v>#REF!</v>
      </c>
      <c r="I130" s="49" t="e">
        <f>#REF!+#REF!+I131+#REF!+#REF!</f>
        <v>#REF!</v>
      </c>
      <c r="J130" s="49" t="e">
        <f>#REF!+#REF!+J131+#REF!+#REF!</f>
        <v>#REF!</v>
      </c>
      <c r="K130" s="49" t="e">
        <f>#REF!+#REF!+K131+#REF!+#REF!</f>
        <v>#REF!</v>
      </c>
      <c r="L130" s="49" t="e">
        <f>#REF!+#REF!+L131+#REF!+#REF!</f>
        <v>#REF!</v>
      </c>
      <c r="M130" s="49" t="e">
        <f>#REF!+#REF!+M131+#REF!+#REF!</f>
        <v>#REF!</v>
      </c>
      <c r="N130" s="49" t="e">
        <f>#REF!+#REF!+N131+#REF!+#REF!</f>
        <v>#REF!</v>
      </c>
      <c r="O130" s="49"/>
      <c r="P130" s="49" t="e">
        <f>#REF!+#REF!+P131+#REF!+#REF!</f>
        <v>#REF!</v>
      </c>
      <c r="Q130" s="49"/>
      <c r="R130" s="49" t="e">
        <f>#REF!+#REF!+R131+#REF!+#REF!</f>
        <v>#REF!</v>
      </c>
      <c r="S130" s="49"/>
      <c r="T130" s="49" t="e">
        <f>#REF!+#REF!+T131+#REF!+#REF!</f>
        <v>#REF!</v>
      </c>
      <c r="U130" s="83">
        <v>-5698.1</v>
      </c>
      <c r="V130" s="36">
        <v>22354.299999999996</v>
      </c>
      <c r="W130" s="36">
        <v>0</v>
      </c>
      <c r="X130" s="36">
        <v>2124.8</v>
      </c>
      <c r="Y130" s="36">
        <v>0</v>
      </c>
      <c r="Z130" s="36">
        <v>0</v>
      </c>
    </row>
    <row r="131" spans="1:26" s="6" customFormat="1" ht="38.25">
      <c r="A131" s="64"/>
      <c r="B131" s="72"/>
      <c r="C131" s="74" t="s">
        <v>212</v>
      </c>
      <c r="D131" s="80"/>
      <c r="E131" s="90" t="s">
        <v>230</v>
      </c>
      <c r="F131" s="51">
        <f>F132</f>
        <v>12554.5</v>
      </c>
      <c r="G131" s="51">
        <f>G132</f>
        <v>0</v>
      </c>
      <c r="H131" s="51">
        <f>H132</f>
        <v>0</v>
      </c>
      <c r="I131" s="49"/>
      <c r="J131" s="49">
        <f>J132</f>
        <v>12554.5</v>
      </c>
      <c r="K131" s="49"/>
      <c r="L131" s="49">
        <f>L132</f>
        <v>0</v>
      </c>
      <c r="M131" s="49"/>
      <c r="N131" s="49">
        <f>N132</f>
        <v>0</v>
      </c>
      <c r="O131" s="49"/>
      <c r="P131" s="49">
        <f>P132</f>
        <v>12554.5</v>
      </c>
      <c r="Q131" s="49"/>
      <c r="R131" s="49">
        <f>R132</f>
        <v>0</v>
      </c>
      <c r="S131" s="49"/>
      <c r="T131" s="49">
        <f>T132</f>
        <v>0</v>
      </c>
      <c r="U131" s="83">
        <v>-5698.1</v>
      </c>
      <c r="V131" s="36">
        <v>6856.4</v>
      </c>
      <c r="W131" s="36">
        <v>0</v>
      </c>
      <c r="X131" s="36">
        <v>0</v>
      </c>
      <c r="Y131" s="36">
        <v>0</v>
      </c>
      <c r="Z131" s="36">
        <v>0</v>
      </c>
    </row>
    <row r="132" spans="1:26" s="6" customFormat="1" ht="38.25">
      <c r="A132" s="64"/>
      <c r="B132" s="72"/>
      <c r="C132" s="74"/>
      <c r="D132" s="80" t="s">
        <v>34</v>
      </c>
      <c r="E132" s="90" t="s">
        <v>115</v>
      </c>
      <c r="F132" s="51">
        <v>12554.5</v>
      </c>
      <c r="G132" s="51">
        <v>0</v>
      </c>
      <c r="H132" s="51">
        <v>0</v>
      </c>
      <c r="I132" s="49"/>
      <c r="J132" s="49">
        <f>F132+I132</f>
        <v>12554.5</v>
      </c>
      <c r="K132" s="49"/>
      <c r="L132" s="49">
        <f>G132+K132</f>
        <v>0</v>
      </c>
      <c r="M132" s="49"/>
      <c r="N132" s="49">
        <f>H132+M132</f>
        <v>0</v>
      </c>
      <c r="O132" s="49"/>
      <c r="P132" s="49">
        <f>J132+O132</f>
        <v>12554.5</v>
      </c>
      <c r="Q132" s="49"/>
      <c r="R132" s="49">
        <f>L132+Q132</f>
        <v>0</v>
      </c>
      <c r="S132" s="49"/>
      <c r="T132" s="49">
        <f>N132+S132</f>
        <v>0</v>
      </c>
      <c r="U132" s="83">
        <v>-5698.1</v>
      </c>
      <c r="V132" s="36">
        <v>6856.4</v>
      </c>
      <c r="W132" s="36">
        <v>0</v>
      </c>
      <c r="X132" s="36">
        <v>0</v>
      </c>
      <c r="Y132" s="36">
        <v>0</v>
      </c>
      <c r="Z132" s="36">
        <v>0</v>
      </c>
    </row>
    <row r="133" spans="1:26" s="6" customFormat="1" ht="38.25">
      <c r="A133" s="64"/>
      <c r="B133" s="72"/>
      <c r="C133" s="74" t="s">
        <v>213</v>
      </c>
      <c r="D133" s="80"/>
      <c r="E133" s="90" t="s">
        <v>233</v>
      </c>
      <c r="F133" s="51" t="e">
        <f>#REF!+F134</f>
        <v>#REF!</v>
      </c>
      <c r="G133" s="51" t="e">
        <f>#REF!+G134</f>
        <v>#REF!</v>
      </c>
      <c r="H133" s="51" t="e">
        <f>#REF!+H134</f>
        <v>#REF!</v>
      </c>
      <c r="I133" s="49"/>
      <c r="J133" s="49" t="e">
        <f>#REF!+J134</f>
        <v>#REF!</v>
      </c>
      <c r="K133" s="49"/>
      <c r="L133" s="49" t="e">
        <f>#REF!+L134</f>
        <v>#REF!</v>
      </c>
      <c r="M133" s="49"/>
      <c r="N133" s="49" t="e">
        <f>#REF!+N134</f>
        <v>#REF!</v>
      </c>
      <c r="O133" s="49"/>
      <c r="P133" s="49" t="e">
        <f>#REF!+P134</f>
        <v>#REF!</v>
      </c>
      <c r="Q133" s="49"/>
      <c r="R133" s="49" t="e">
        <f>#REF!+R134</f>
        <v>#REF!</v>
      </c>
      <c r="S133" s="49"/>
      <c r="T133" s="49" t="e">
        <f>#REF!+T134</f>
        <v>#REF!</v>
      </c>
      <c r="U133" s="83">
        <v>-3205.4</v>
      </c>
      <c r="V133" s="36">
        <v>0</v>
      </c>
      <c r="W133" s="36">
        <v>3205.4</v>
      </c>
      <c r="X133" s="36">
        <v>3205.4</v>
      </c>
      <c r="Y133" s="36">
        <v>0</v>
      </c>
      <c r="Z133" s="36">
        <v>0</v>
      </c>
    </row>
    <row r="134" spans="1:26" s="6" customFormat="1" ht="38.25">
      <c r="A134" s="64"/>
      <c r="B134" s="72"/>
      <c r="C134" s="74" t="s">
        <v>214</v>
      </c>
      <c r="D134" s="80"/>
      <c r="E134" s="90" t="s">
        <v>220</v>
      </c>
      <c r="F134" s="51">
        <f aca="true" t="shared" si="38" ref="F134:T135">F135</f>
        <v>3205.4</v>
      </c>
      <c r="G134" s="51">
        <f t="shared" si="38"/>
        <v>0</v>
      </c>
      <c r="H134" s="51">
        <f t="shared" si="38"/>
        <v>0</v>
      </c>
      <c r="I134" s="49"/>
      <c r="J134" s="49">
        <f t="shared" si="38"/>
        <v>3205.4</v>
      </c>
      <c r="K134" s="49"/>
      <c r="L134" s="49">
        <f t="shared" si="38"/>
        <v>0</v>
      </c>
      <c r="M134" s="49"/>
      <c r="N134" s="49">
        <f t="shared" si="38"/>
        <v>0</v>
      </c>
      <c r="O134" s="49"/>
      <c r="P134" s="49">
        <f t="shared" si="38"/>
        <v>3205.4</v>
      </c>
      <c r="Q134" s="49"/>
      <c r="R134" s="49">
        <f t="shared" si="38"/>
        <v>0</v>
      </c>
      <c r="S134" s="49"/>
      <c r="T134" s="49">
        <f t="shared" si="38"/>
        <v>0</v>
      </c>
      <c r="U134" s="83">
        <v>-3205.4</v>
      </c>
      <c r="V134" s="36">
        <v>0</v>
      </c>
      <c r="W134" s="36">
        <v>3205.4</v>
      </c>
      <c r="X134" s="36">
        <v>3205.4</v>
      </c>
      <c r="Y134" s="36">
        <v>0</v>
      </c>
      <c r="Z134" s="36">
        <v>0</v>
      </c>
    </row>
    <row r="135" spans="1:26" s="6" customFormat="1" ht="25.5">
      <c r="A135" s="64"/>
      <c r="B135" s="72"/>
      <c r="C135" s="74" t="s">
        <v>234</v>
      </c>
      <c r="D135" s="80"/>
      <c r="E135" s="90" t="s">
        <v>235</v>
      </c>
      <c r="F135" s="51">
        <f t="shared" si="38"/>
        <v>3205.4</v>
      </c>
      <c r="G135" s="51">
        <f t="shared" si="38"/>
        <v>0</v>
      </c>
      <c r="H135" s="51">
        <f t="shared" si="38"/>
        <v>0</v>
      </c>
      <c r="I135" s="49"/>
      <c r="J135" s="49">
        <f t="shared" si="38"/>
        <v>3205.4</v>
      </c>
      <c r="K135" s="49"/>
      <c r="L135" s="49">
        <f t="shared" si="38"/>
        <v>0</v>
      </c>
      <c r="M135" s="49"/>
      <c r="N135" s="49">
        <f t="shared" si="38"/>
        <v>0</v>
      </c>
      <c r="O135" s="49"/>
      <c r="P135" s="49">
        <f t="shared" si="38"/>
        <v>3205.4</v>
      </c>
      <c r="Q135" s="49"/>
      <c r="R135" s="49">
        <f t="shared" si="38"/>
        <v>0</v>
      </c>
      <c r="S135" s="49"/>
      <c r="T135" s="49">
        <f t="shared" si="38"/>
        <v>0</v>
      </c>
      <c r="U135" s="83">
        <v>-3205.4</v>
      </c>
      <c r="V135" s="36">
        <v>0</v>
      </c>
      <c r="W135" s="36">
        <v>3205.4</v>
      </c>
      <c r="X135" s="36">
        <v>3205.4</v>
      </c>
      <c r="Y135" s="36">
        <v>0</v>
      </c>
      <c r="Z135" s="36">
        <v>0</v>
      </c>
    </row>
    <row r="136" spans="1:26" s="6" customFormat="1" ht="15">
      <c r="A136" s="64"/>
      <c r="B136" s="72"/>
      <c r="C136" s="74"/>
      <c r="D136" s="80" t="s">
        <v>28</v>
      </c>
      <c r="E136" s="90" t="s">
        <v>29</v>
      </c>
      <c r="F136" s="51">
        <v>3205.4</v>
      </c>
      <c r="G136" s="51">
        <v>0</v>
      </c>
      <c r="H136" s="51">
        <v>0</v>
      </c>
      <c r="I136" s="49"/>
      <c r="J136" s="49">
        <f>F136+I136</f>
        <v>3205.4</v>
      </c>
      <c r="K136" s="49"/>
      <c r="L136" s="49">
        <f>G136+K136</f>
        <v>0</v>
      </c>
      <c r="M136" s="49"/>
      <c r="N136" s="49">
        <f>H136+M136</f>
        <v>0</v>
      </c>
      <c r="O136" s="49"/>
      <c r="P136" s="49">
        <f>J136+O136</f>
        <v>3205.4</v>
      </c>
      <c r="Q136" s="49"/>
      <c r="R136" s="49">
        <f>L136+Q136</f>
        <v>0</v>
      </c>
      <c r="S136" s="49"/>
      <c r="T136" s="49">
        <f>N136+S136</f>
        <v>0</v>
      </c>
      <c r="U136" s="83">
        <v>-3205.4</v>
      </c>
      <c r="V136" s="36">
        <v>0</v>
      </c>
      <c r="W136" s="36">
        <v>3205.4</v>
      </c>
      <c r="X136" s="36">
        <v>3205.4</v>
      </c>
      <c r="Y136" s="36"/>
      <c r="Z136" s="36">
        <v>0</v>
      </c>
    </row>
    <row r="137" spans="1:26" s="6" customFormat="1" ht="15">
      <c r="A137" s="67"/>
      <c r="B137" s="115" t="s">
        <v>160</v>
      </c>
      <c r="C137" s="74"/>
      <c r="D137" s="115"/>
      <c r="E137" s="117" t="s">
        <v>161</v>
      </c>
      <c r="F137" s="51" t="e">
        <f>F138+#REF!</f>
        <v>#REF!</v>
      </c>
      <c r="G137" s="51" t="e">
        <f>G138+#REF!</f>
        <v>#REF!</v>
      </c>
      <c r="H137" s="51" t="e">
        <f>H138+#REF!</f>
        <v>#REF!</v>
      </c>
      <c r="I137" s="49" t="e">
        <f>I138+#REF!</f>
        <v>#REF!</v>
      </c>
      <c r="J137" s="49" t="e">
        <f>J138+#REF!</f>
        <v>#REF!</v>
      </c>
      <c r="K137" s="49" t="e">
        <f>K138+#REF!</f>
        <v>#REF!</v>
      </c>
      <c r="L137" s="49" t="e">
        <f>L138+#REF!</f>
        <v>#REF!</v>
      </c>
      <c r="M137" s="49" t="e">
        <f>M138+#REF!</f>
        <v>#REF!</v>
      </c>
      <c r="N137" s="49" t="e">
        <f>N138+#REF!</f>
        <v>#REF!</v>
      </c>
      <c r="O137" s="52" t="e">
        <f>O138+#REF!</f>
        <v>#REF!</v>
      </c>
      <c r="P137" s="49" t="e">
        <f>P138+#REF!</f>
        <v>#REF!</v>
      </c>
      <c r="Q137" s="49" t="e">
        <f>Q138+#REF!</f>
        <v>#REF!</v>
      </c>
      <c r="R137" s="49" t="e">
        <f>R138+#REF!</f>
        <v>#REF!</v>
      </c>
      <c r="S137" s="49" t="e">
        <f>S138+#REF!</f>
        <v>#REF!</v>
      </c>
      <c r="T137" s="49" t="e">
        <f>T138+#REF!</f>
        <v>#REF!</v>
      </c>
      <c r="U137" s="83">
        <v>-493.6</v>
      </c>
      <c r="V137" s="36">
        <v>2000</v>
      </c>
      <c r="W137" s="36">
        <v>0</v>
      </c>
      <c r="X137" s="36">
        <v>32000</v>
      </c>
      <c r="Y137" s="36">
        <v>0</v>
      </c>
      <c r="Z137" s="36">
        <v>24300</v>
      </c>
    </row>
    <row r="138" spans="1:26" s="6" customFormat="1" ht="25.5">
      <c r="A138" s="67"/>
      <c r="B138" s="70"/>
      <c r="C138" s="65" t="s">
        <v>132</v>
      </c>
      <c r="D138" s="80"/>
      <c r="E138" s="109" t="s">
        <v>200</v>
      </c>
      <c r="F138" s="51" t="e">
        <f aca="true" t="shared" si="39" ref="F138:T138">F139</f>
        <v>#REF!</v>
      </c>
      <c r="G138" s="51" t="e">
        <f t="shared" si="39"/>
        <v>#REF!</v>
      </c>
      <c r="H138" s="51" t="e">
        <f t="shared" si="39"/>
        <v>#REF!</v>
      </c>
      <c r="I138" s="49" t="e">
        <f t="shared" si="39"/>
        <v>#REF!</v>
      </c>
      <c r="J138" s="49" t="e">
        <f t="shared" si="39"/>
        <v>#REF!</v>
      </c>
      <c r="K138" s="49" t="e">
        <f t="shared" si="39"/>
        <v>#REF!</v>
      </c>
      <c r="L138" s="49" t="e">
        <f t="shared" si="39"/>
        <v>#REF!</v>
      </c>
      <c r="M138" s="49" t="e">
        <f t="shared" si="39"/>
        <v>#REF!</v>
      </c>
      <c r="N138" s="49" t="e">
        <f t="shared" si="39"/>
        <v>#REF!</v>
      </c>
      <c r="O138" s="52" t="e">
        <f t="shared" si="39"/>
        <v>#REF!</v>
      </c>
      <c r="P138" s="49" t="e">
        <f>P139</f>
        <v>#REF!</v>
      </c>
      <c r="Q138" s="49" t="e">
        <f t="shared" si="39"/>
        <v>#REF!</v>
      </c>
      <c r="R138" s="49" t="e">
        <f t="shared" si="39"/>
        <v>#REF!</v>
      </c>
      <c r="S138" s="49" t="e">
        <f t="shared" si="39"/>
        <v>#REF!</v>
      </c>
      <c r="T138" s="49" t="e">
        <f t="shared" si="39"/>
        <v>#REF!</v>
      </c>
      <c r="U138" s="83">
        <v>-493.6</v>
      </c>
      <c r="V138" s="36">
        <v>0</v>
      </c>
      <c r="W138" s="36">
        <v>0</v>
      </c>
      <c r="X138" s="36">
        <v>30000</v>
      </c>
      <c r="Y138" s="36">
        <v>0</v>
      </c>
      <c r="Z138" s="36">
        <v>22300</v>
      </c>
    </row>
    <row r="139" spans="1:26" s="6" customFormat="1" ht="25.5">
      <c r="A139" s="67"/>
      <c r="B139" s="70"/>
      <c r="C139" s="74" t="s">
        <v>133</v>
      </c>
      <c r="D139" s="115"/>
      <c r="E139" s="117" t="s">
        <v>162</v>
      </c>
      <c r="F139" s="31" t="e">
        <f>#REF!+#REF!</f>
        <v>#REF!</v>
      </c>
      <c r="G139" s="31" t="e">
        <f>#REF!+#REF!</f>
        <v>#REF!</v>
      </c>
      <c r="H139" s="31" t="e">
        <f>#REF!+#REF!</f>
        <v>#REF!</v>
      </c>
      <c r="I139" s="49" t="e">
        <f>#REF!+#REF!+I140</f>
        <v>#REF!</v>
      </c>
      <c r="J139" s="49" t="e">
        <f>#REF!+#REF!+J140</f>
        <v>#REF!</v>
      </c>
      <c r="K139" s="49" t="e">
        <f>#REF!+#REF!+K140</f>
        <v>#REF!</v>
      </c>
      <c r="L139" s="49" t="e">
        <f>#REF!+#REF!+L140</f>
        <v>#REF!</v>
      </c>
      <c r="M139" s="49" t="e">
        <f>#REF!+#REF!+M140</f>
        <v>#REF!</v>
      </c>
      <c r="N139" s="49" t="e">
        <f>#REF!+#REF!+N140</f>
        <v>#REF!</v>
      </c>
      <c r="O139" s="52" t="e">
        <f>#REF!+#REF!+O140</f>
        <v>#REF!</v>
      </c>
      <c r="P139" s="49" t="e">
        <f>#REF!+#REF!+P140</f>
        <v>#REF!</v>
      </c>
      <c r="Q139" s="49" t="e">
        <f>#REF!+#REF!+Q140</f>
        <v>#REF!</v>
      </c>
      <c r="R139" s="49" t="e">
        <f>#REF!+#REF!+R140</f>
        <v>#REF!</v>
      </c>
      <c r="S139" s="49" t="e">
        <f>#REF!+#REF!+S140</f>
        <v>#REF!</v>
      </c>
      <c r="T139" s="49" t="e">
        <f>#REF!+#REF!+T140</f>
        <v>#REF!</v>
      </c>
      <c r="U139" s="83">
        <v>-493.6</v>
      </c>
      <c r="V139" s="36">
        <v>0</v>
      </c>
      <c r="W139" s="36">
        <v>0</v>
      </c>
      <c r="X139" s="36">
        <v>30000</v>
      </c>
      <c r="Y139" s="36">
        <v>0</v>
      </c>
      <c r="Z139" s="36">
        <v>22300</v>
      </c>
    </row>
    <row r="140" spans="1:26" s="25" customFormat="1" ht="15">
      <c r="A140" s="67"/>
      <c r="B140" s="70"/>
      <c r="C140" s="74" t="s">
        <v>95</v>
      </c>
      <c r="D140" s="115"/>
      <c r="E140" s="117" t="s">
        <v>137</v>
      </c>
      <c r="F140" s="31"/>
      <c r="G140" s="31"/>
      <c r="H140" s="31"/>
      <c r="I140" s="49">
        <f aca="true" t="shared" si="40" ref="I140:T140">I141</f>
        <v>1583.3</v>
      </c>
      <c r="J140" s="49">
        <f t="shared" si="40"/>
        <v>1583.3</v>
      </c>
      <c r="K140" s="49">
        <f t="shared" si="40"/>
        <v>0</v>
      </c>
      <c r="L140" s="49">
        <f t="shared" si="40"/>
        <v>0</v>
      </c>
      <c r="M140" s="49">
        <f t="shared" si="40"/>
        <v>0</v>
      </c>
      <c r="N140" s="49">
        <f t="shared" si="40"/>
        <v>0</v>
      </c>
      <c r="O140" s="52">
        <f t="shared" si="40"/>
        <v>-1089.7</v>
      </c>
      <c r="P140" s="49">
        <f t="shared" si="40"/>
        <v>493.5999999999999</v>
      </c>
      <c r="Q140" s="49">
        <f t="shared" si="40"/>
        <v>0</v>
      </c>
      <c r="R140" s="49">
        <f t="shared" si="40"/>
        <v>0</v>
      </c>
      <c r="S140" s="49">
        <f t="shared" si="40"/>
        <v>0</v>
      </c>
      <c r="T140" s="49">
        <f t="shared" si="40"/>
        <v>0</v>
      </c>
      <c r="U140" s="83">
        <v>-493.6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</row>
    <row r="141" spans="1:26" s="25" customFormat="1" ht="38.25">
      <c r="A141" s="67"/>
      <c r="B141" s="70"/>
      <c r="C141" s="74"/>
      <c r="D141" s="115" t="s">
        <v>27</v>
      </c>
      <c r="E141" s="117" t="s">
        <v>105</v>
      </c>
      <c r="F141" s="31"/>
      <c r="G141" s="31"/>
      <c r="H141" s="31"/>
      <c r="I141" s="49">
        <v>1583.3</v>
      </c>
      <c r="J141" s="49">
        <f>F141+I141</f>
        <v>1583.3</v>
      </c>
      <c r="K141" s="49">
        <v>0</v>
      </c>
      <c r="L141" s="49">
        <f>G141+K141</f>
        <v>0</v>
      </c>
      <c r="M141" s="49">
        <v>0</v>
      </c>
      <c r="N141" s="49">
        <f>H141+M141</f>
        <v>0</v>
      </c>
      <c r="O141" s="52">
        <v>-1089.7</v>
      </c>
      <c r="P141" s="49">
        <f>J141+O141</f>
        <v>493.5999999999999</v>
      </c>
      <c r="Q141" s="49">
        <v>0</v>
      </c>
      <c r="R141" s="49">
        <f>L141+Q141</f>
        <v>0</v>
      </c>
      <c r="S141" s="49">
        <v>0</v>
      </c>
      <c r="T141" s="49">
        <f>N141+S141</f>
        <v>0</v>
      </c>
      <c r="U141" s="37">
        <v>-493.6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</row>
    <row r="142" spans="1:26" s="6" customFormat="1" ht="15">
      <c r="A142" s="67"/>
      <c r="B142" s="74" t="s">
        <v>75</v>
      </c>
      <c r="C142" s="75"/>
      <c r="D142" s="75"/>
      <c r="E142" s="76" t="s">
        <v>76</v>
      </c>
      <c r="F142" s="51" t="e">
        <f>F143+#REF!+#REF!+#REF!</f>
        <v>#REF!</v>
      </c>
      <c r="G142" s="51" t="e">
        <f>G143+#REF!+#REF!+#REF!</f>
        <v>#REF!</v>
      </c>
      <c r="H142" s="51" t="e">
        <f>H143+#REF!+#REF!+#REF!</f>
        <v>#REF!</v>
      </c>
      <c r="I142" s="49" t="e">
        <f>I143+#REF!+#REF!+#REF!</f>
        <v>#REF!</v>
      </c>
      <c r="J142" s="49" t="e">
        <f>J143+#REF!+#REF!+#REF!</f>
        <v>#REF!</v>
      </c>
      <c r="K142" s="49" t="e">
        <f>K143+#REF!+#REF!+#REF!</f>
        <v>#REF!</v>
      </c>
      <c r="L142" s="49" t="e">
        <f>L143+#REF!+#REF!+#REF!</f>
        <v>#REF!</v>
      </c>
      <c r="M142" s="49" t="e">
        <f>M143+#REF!+#REF!+#REF!</f>
        <v>#REF!</v>
      </c>
      <c r="N142" s="49" t="e">
        <f>N143+#REF!+#REF!+#REF!</f>
        <v>#REF!</v>
      </c>
      <c r="O142" s="52" t="e">
        <f>O143+#REF!+#REF!+#REF!</f>
        <v>#REF!</v>
      </c>
      <c r="P142" s="49" t="e">
        <f>P143+#REF!+#REF!+#REF!</f>
        <v>#REF!</v>
      </c>
      <c r="Q142" s="52" t="e">
        <f>Q143+#REF!+#REF!+#REF!</f>
        <v>#REF!</v>
      </c>
      <c r="R142" s="49" t="e">
        <f>R143+#REF!+#REF!+#REF!</f>
        <v>#REF!</v>
      </c>
      <c r="S142" s="52" t="e">
        <f>S143+#REF!+#REF!+#REF!</f>
        <v>#REF!</v>
      </c>
      <c r="T142" s="49" t="e">
        <f>T143+#REF!+#REF!+#REF!</f>
        <v>#REF!</v>
      </c>
      <c r="U142" s="83">
        <v>-27213.6</v>
      </c>
      <c r="V142" s="36">
        <v>189194.09999999998</v>
      </c>
      <c r="W142" s="36">
        <v>0</v>
      </c>
      <c r="X142" s="36">
        <v>24928.3</v>
      </c>
      <c r="Y142" s="36">
        <v>0</v>
      </c>
      <c r="Z142" s="36">
        <v>12314.400000000001</v>
      </c>
    </row>
    <row r="143" spans="1:26" s="6" customFormat="1" ht="15">
      <c r="A143" s="67"/>
      <c r="B143" s="65" t="s">
        <v>79</v>
      </c>
      <c r="C143" s="65"/>
      <c r="D143" s="68"/>
      <c r="E143" s="71" t="s">
        <v>80</v>
      </c>
      <c r="F143" s="51" t="e">
        <f aca="true" t="shared" si="41" ref="F143:T144">F144</f>
        <v>#REF!</v>
      </c>
      <c r="G143" s="51" t="e">
        <f t="shared" si="41"/>
        <v>#REF!</v>
      </c>
      <c r="H143" s="51" t="e">
        <f t="shared" si="41"/>
        <v>#REF!</v>
      </c>
      <c r="I143" s="49" t="e">
        <f t="shared" si="41"/>
        <v>#REF!</v>
      </c>
      <c r="J143" s="49" t="e">
        <f t="shared" si="41"/>
        <v>#REF!</v>
      </c>
      <c r="K143" s="49" t="e">
        <f t="shared" si="41"/>
        <v>#REF!</v>
      </c>
      <c r="L143" s="49" t="e">
        <f t="shared" si="41"/>
        <v>#REF!</v>
      </c>
      <c r="M143" s="49" t="e">
        <f t="shared" si="41"/>
        <v>#REF!</v>
      </c>
      <c r="N143" s="49" t="e">
        <f t="shared" si="41"/>
        <v>#REF!</v>
      </c>
      <c r="O143" s="52" t="e">
        <f t="shared" si="41"/>
        <v>#REF!</v>
      </c>
      <c r="P143" s="49" t="e">
        <f t="shared" si="41"/>
        <v>#REF!</v>
      </c>
      <c r="Q143" s="49" t="e">
        <f t="shared" si="41"/>
        <v>#REF!</v>
      </c>
      <c r="R143" s="49" t="e">
        <f t="shared" si="41"/>
        <v>#REF!</v>
      </c>
      <c r="S143" s="49" t="e">
        <f t="shared" si="41"/>
        <v>#REF!</v>
      </c>
      <c r="T143" s="49" t="e">
        <f t="shared" si="41"/>
        <v>#REF!</v>
      </c>
      <c r="U143" s="83">
        <v>-27213.6</v>
      </c>
      <c r="V143" s="36">
        <v>153116.99999999997</v>
      </c>
      <c r="W143" s="36">
        <v>0</v>
      </c>
      <c r="X143" s="36">
        <v>24928.3</v>
      </c>
      <c r="Y143" s="36">
        <v>0</v>
      </c>
      <c r="Z143" s="36">
        <v>0</v>
      </c>
    </row>
    <row r="144" spans="1:26" s="6" customFormat="1" ht="25.5">
      <c r="A144" s="67"/>
      <c r="B144" s="74"/>
      <c r="C144" s="74" t="s">
        <v>12</v>
      </c>
      <c r="D144" s="74"/>
      <c r="E144" s="82" t="s">
        <v>197</v>
      </c>
      <c r="F144" s="51" t="e">
        <f t="shared" si="41"/>
        <v>#REF!</v>
      </c>
      <c r="G144" s="51" t="e">
        <f t="shared" si="41"/>
        <v>#REF!</v>
      </c>
      <c r="H144" s="51" t="e">
        <f t="shared" si="41"/>
        <v>#REF!</v>
      </c>
      <c r="I144" s="49" t="e">
        <f t="shared" si="41"/>
        <v>#REF!</v>
      </c>
      <c r="J144" s="49" t="e">
        <f t="shared" si="41"/>
        <v>#REF!</v>
      </c>
      <c r="K144" s="49" t="e">
        <f t="shared" si="41"/>
        <v>#REF!</v>
      </c>
      <c r="L144" s="49" t="e">
        <f t="shared" si="41"/>
        <v>#REF!</v>
      </c>
      <c r="M144" s="49" t="e">
        <f t="shared" si="41"/>
        <v>#REF!</v>
      </c>
      <c r="N144" s="49" t="e">
        <f t="shared" si="41"/>
        <v>#REF!</v>
      </c>
      <c r="O144" s="52" t="e">
        <f t="shared" si="41"/>
        <v>#REF!</v>
      </c>
      <c r="P144" s="49" t="e">
        <f t="shared" si="41"/>
        <v>#REF!</v>
      </c>
      <c r="Q144" s="49" t="e">
        <f t="shared" si="41"/>
        <v>#REF!</v>
      </c>
      <c r="R144" s="49" t="e">
        <f t="shared" si="41"/>
        <v>#REF!</v>
      </c>
      <c r="S144" s="49" t="e">
        <f t="shared" si="41"/>
        <v>#REF!</v>
      </c>
      <c r="T144" s="49" t="e">
        <f t="shared" si="41"/>
        <v>#REF!</v>
      </c>
      <c r="U144" s="83">
        <v>-27213.6</v>
      </c>
      <c r="V144" s="36">
        <v>153116.99999999997</v>
      </c>
      <c r="W144" s="36">
        <v>0</v>
      </c>
      <c r="X144" s="36">
        <v>24928.3</v>
      </c>
      <c r="Y144" s="36">
        <v>0</v>
      </c>
      <c r="Z144" s="36">
        <v>0</v>
      </c>
    </row>
    <row r="145" spans="1:26" s="6" customFormat="1" ht="25.5" customHeight="1">
      <c r="A145" s="67"/>
      <c r="B145" s="74"/>
      <c r="C145" s="65" t="s">
        <v>16</v>
      </c>
      <c r="D145" s="70"/>
      <c r="E145" s="71" t="s">
        <v>116</v>
      </c>
      <c r="F145" s="51" t="e">
        <f>F146+#REF!+#REF!</f>
        <v>#REF!</v>
      </c>
      <c r="G145" s="51" t="e">
        <f>G146+#REF!+#REF!</f>
        <v>#REF!</v>
      </c>
      <c r="H145" s="51" t="e">
        <f>H146+#REF!+#REF!</f>
        <v>#REF!</v>
      </c>
      <c r="I145" s="49" t="e">
        <f>I146+#REF!+#REF!</f>
        <v>#REF!</v>
      </c>
      <c r="J145" s="49" t="e">
        <f>J146+#REF!+#REF!</f>
        <v>#REF!</v>
      </c>
      <c r="K145" s="49" t="e">
        <f>K146+#REF!+#REF!</f>
        <v>#REF!</v>
      </c>
      <c r="L145" s="49" t="e">
        <f>L146+#REF!+#REF!</f>
        <v>#REF!</v>
      </c>
      <c r="M145" s="49" t="e">
        <f>M146+#REF!+#REF!</f>
        <v>#REF!</v>
      </c>
      <c r="N145" s="49" t="e">
        <f>N146+#REF!+#REF!</f>
        <v>#REF!</v>
      </c>
      <c r="O145" s="52" t="e">
        <f>O146+#REF!+#REF!</f>
        <v>#REF!</v>
      </c>
      <c r="P145" s="49" t="e">
        <f>P146+#REF!+#REF!</f>
        <v>#REF!</v>
      </c>
      <c r="Q145" s="49" t="e">
        <f>Q146+#REF!+#REF!</f>
        <v>#REF!</v>
      </c>
      <c r="R145" s="49" t="e">
        <f>R146+#REF!+#REF!</f>
        <v>#REF!</v>
      </c>
      <c r="S145" s="49" t="e">
        <f>S146+#REF!+#REF!</f>
        <v>#REF!</v>
      </c>
      <c r="T145" s="49" t="e">
        <f>T146+#REF!+#REF!</f>
        <v>#REF!</v>
      </c>
      <c r="U145" s="83">
        <v>-27213.6</v>
      </c>
      <c r="V145" s="36">
        <v>153116.99999999997</v>
      </c>
      <c r="W145" s="36">
        <v>0</v>
      </c>
      <c r="X145" s="36">
        <v>24928.3</v>
      </c>
      <c r="Y145" s="36">
        <v>0</v>
      </c>
      <c r="Z145" s="36">
        <v>0</v>
      </c>
    </row>
    <row r="146" spans="1:26" s="10" customFormat="1" ht="42" customHeight="1">
      <c r="A146" s="78"/>
      <c r="B146" s="79"/>
      <c r="C146" s="80" t="s">
        <v>159</v>
      </c>
      <c r="D146" s="80"/>
      <c r="E146" s="81" t="s">
        <v>117</v>
      </c>
      <c r="F146" s="31" t="e">
        <f>F147+F149+#REF!+#REF!+#REF!+#REF!+#REF!+#REF!</f>
        <v>#REF!</v>
      </c>
      <c r="G146" s="31" t="e">
        <f>G147+G149+#REF!+#REF!+#REF!+#REF!+#REF!+#REF!</f>
        <v>#REF!</v>
      </c>
      <c r="H146" s="31" t="e">
        <f>H147+H149+#REF!+#REF!+#REF!+#REF!+#REF!+#REF!</f>
        <v>#REF!</v>
      </c>
      <c r="I146" s="49" t="e">
        <f>I147+I149+#REF!+#REF!+#REF!+#REF!+#REF!+#REF!+#REF!</f>
        <v>#REF!</v>
      </c>
      <c r="J146" s="49" t="e">
        <f>J147+J149+#REF!+#REF!+#REF!+#REF!+#REF!+#REF!+#REF!</f>
        <v>#REF!</v>
      </c>
      <c r="K146" s="52" t="e">
        <f>K147+K149+#REF!+#REF!+#REF!+#REF!+#REF!+#REF!+#REF!</f>
        <v>#REF!</v>
      </c>
      <c r="L146" s="49" t="e">
        <f>L147+L149+#REF!+#REF!+#REF!+#REF!+#REF!+#REF!+#REF!</f>
        <v>#REF!</v>
      </c>
      <c r="M146" s="49" t="e">
        <f>M147+M149+#REF!+#REF!+#REF!+#REF!+#REF!+#REF!+#REF!</f>
        <v>#REF!</v>
      </c>
      <c r="N146" s="49" t="e">
        <f>N147+N149+#REF!+#REF!+#REF!+#REF!+#REF!+#REF!+#REF!</f>
        <v>#REF!</v>
      </c>
      <c r="O146" s="52" t="e">
        <f>O147+O149+#REF!+#REF!+#REF!+#REF!+#REF!+#REF!+#REF!</f>
        <v>#REF!</v>
      </c>
      <c r="P146" s="49" t="e">
        <f>P147+P149+#REF!+#REF!+#REF!+#REF!+#REF!+#REF!+#REF!</f>
        <v>#REF!</v>
      </c>
      <c r="Q146" s="49" t="e">
        <f>Q147+Q149+#REF!+#REF!+#REF!+#REF!+#REF!+#REF!+#REF!</f>
        <v>#REF!</v>
      </c>
      <c r="R146" s="49" t="e">
        <f>R147+R149+#REF!+#REF!+#REF!+#REF!+#REF!+#REF!+#REF!</f>
        <v>#REF!</v>
      </c>
      <c r="S146" s="49" t="e">
        <f>S147+S149+#REF!+#REF!+#REF!+#REF!+#REF!+#REF!+#REF!</f>
        <v>#REF!</v>
      </c>
      <c r="T146" s="49" t="e">
        <f>T147+T149+#REF!+#REF!+#REF!+#REF!+#REF!+#REF!+#REF!</f>
        <v>#REF!</v>
      </c>
      <c r="U146" s="83">
        <v>-27213.6</v>
      </c>
      <c r="V146" s="36">
        <v>102794.29999999999</v>
      </c>
      <c r="W146" s="36">
        <v>0</v>
      </c>
      <c r="X146" s="36">
        <v>7197.7</v>
      </c>
      <c r="Y146" s="36">
        <v>0</v>
      </c>
      <c r="Z146" s="36">
        <v>0</v>
      </c>
    </row>
    <row r="147" spans="1:26" s="25" customFormat="1" ht="15">
      <c r="A147" s="67"/>
      <c r="B147" s="74"/>
      <c r="C147" s="74" t="s">
        <v>193</v>
      </c>
      <c r="D147" s="74"/>
      <c r="E147" s="77" t="s">
        <v>194</v>
      </c>
      <c r="F147" s="51">
        <f aca="true" t="shared" si="42" ref="F147:T147">F148</f>
        <v>0</v>
      </c>
      <c r="G147" s="51">
        <f t="shared" si="42"/>
        <v>0</v>
      </c>
      <c r="H147" s="51">
        <f t="shared" si="42"/>
        <v>0</v>
      </c>
      <c r="I147" s="49">
        <f t="shared" si="42"/>
        <v>53077.7</v>
      </c>
      <c r="J147" s="49">
        <f t="shared" si="42"/>
        <v>53077.7</v>
      </c>
      <c r="K147" s="49">
        <f t="shared" si="42"/>
        <v>0</v>
      </c>
      <c r="L147" s="49">
        <f t="shared" si="42"/>
        <v>0</v>
      </c>
      <c r="M147" s="49">
        <f t="shared" si="42"/>
        <v>0</v>
      </c>
      <c r="N147" s="49">
        <f t="shared" si="42"/>
        <v>0</v>
      </c>
      <c r="O147" s="52">
        <f>O148</f>
        <v>-24970.7</v>
      </c>
      <c r="P147" s="49">
        <f>P148</f>
        <v>28106.999999999996</v>
      </c>
      <c r="Q147" s="49">
        <f t="shared" si="42"/>
        <v>0</v>
      </c>
      <c r="R147" s="49">
        <f t="shared" si="42"/>
        <v>0</v>
      </c>
      <c r="S147" s="49">
        <f t="shared" si="42"/>
        <v>0</v>
      </c>
      <c r="T147" s="49">
        <f t="shared" si="42"/>
        <v>0</v>
      </c>
      <c r="U147" s="37">
        <v>-27574.3</v>
      </c>
      <c r="V147" s="37">
        <v>532.6999999999971</v>
      </c>
      <c r="W147" s="37">
        <v>0</v>
      </c>
      <c r="X147" s="37">
        <v>0</v>
      </c>
      <c r="Y147" s="37">
        <v>0</v>
      </c>
      <c r="Z147" s="37">
        <v>0</v>
      </c>
    </row>
    <row r="148" spans="1:26" s="25" customFormat="1" ht="38.25">
      <c r="A148" s="67"/>
      <c r="B148" s="74"/>
      <c r="C148" s="74"/>
      <c r="D148" s="74" t="s">
        <v>34</v>
      </c>
      <c r="E148" s="77" t="s">
        <v>115</v>
      </c>
      <c r="F148" s="51"/>
      <c r="G148" s="51"/>
      <c r="H148" s="51"/>
      <c r="I148" s="49">
        <v>53077.7</v>
      </c>
      <c r="J148" s="49">
        <f>F148+I148</f>
        <v>53077.7</v>
      </c>
      <c r="K148" s="49">
        <v>0</v>
      </c>
      <c r="L148" s="49">
        <f>G148+K148</f>
        <v>0</v>
      </c>
      <c r="M148" s="49">
        <v>0</v>
      </c>
      <c r="N148" s="49">
        <f>H148+M148</f>
        <v>0</v>
      </c>
      <c r="O148" s="52">
        <v>-24970.7</v>
      </c>
      <c r="P148" s="49">
        <f>J148+O148</f>
        <v>28106.999999999996</v>
      </c>
      <c r="Q148" s="49">
        <v>0</v>
      </c>
      <c r="R148" s="49">
        <f>L148+Q148</f>
        <v>0</v>
      </c>
      <c r="S148" s="49">
        <v>0</v>
      </c>
      <c r="T148" s="49">
        <f>N148+S148</f>
        <v>0</v>
      </c>
      <c r="U148" s="37">
        <v>-27574.3</v>
      </c>
      <c r="V148" s="36">
        <v>532.6999999999971</v>
      </c>
      <c r="W148" s="36">
        <v>0</v>
      </c>
      <c r="X148" s="36">
        <v>0</v>
      </c>
      <c r="Y148" s="36">
        <v>0</v>
      </c>
      <c r="Z148" s="36">
        <v>0</v>
      </c>
    </row>
    <row r="149" spans="1:26" s="10" customFormat="1" ht="25.5">
      <c r="A149" s="78"/>
      <c r="B149" s="79"/>
      <c r="C149" s="80" t="s">
        <v>195</v>
      </c>
      <c r="D149" s="80"/>
      <c r="E149" s="81" t="s">
        <v>196</v>
      </c>
      <c r="F149" s="51">
        <f aca="true" t="shared" si="43" ref="F149:T149">F150</f>
        <v>577.5</v>
      </c>
      <c r="G149" s="51">
        <f t="shared" si="43"/>
        <v>4899.7</v>
      </c>
      <c r="H149" s="31">
        <f t="shared" si="43"/>
        <v>0</v>
      </c>
      <c r="I149" s="52">
        <f t="shared" si="43"/>
        <v>-572.5</v>
      </c>
      <c r="J149" s="52">
        <f t="shared" si="43"/>
        <v>5</v>
      </c>
      <c r="K149" s="52">
        <f t="shared" si="43"/>
        <v>-2712.5</v>
      </c>
      <c r="L149" s="49">
        <f t="shared" si="43"/>
        <v>2187.2</v>
      </c>
      <c r="M149" s="49">
        <f t="shared" si="43"/>
        <v>0</v>
      </c>
      <c r="N149" s="49">
        <f t="shared" si="43"/>
        <v>0</v>
      </c>
      <c r="O149" s="52">
        <f t="shared" si="43"/>
        <v>3.5</v>
      </c>
      <c r="P149" s="52">
        <f t="shared" si="43"/>
        <v>8.5</v>
      </c>
      <c r="Q149" s="52">
        <f t="shared" si="43"/>
        <v>0</v>
      </c>
      <c r="R149" s="52">
        <f t="shared" si="43"/>
        <v>2187.2</v>
      </c>
      <c r="S149" s="52">
        <f t="shared" si="43"/>
        <v>0</v>
      </c>
      <c r="T149" s="52">
        <f t="shared" si="43"/>
        <v>0</v>
      </c>
      <c r="U149" s="37">
        <v>360.7</v>
      </c>
      <c r="V149" s="37">
        <v>369.2</v>
      </c>
      <c r="W149" s="37">
        <v>0</v>
      </c>
      <c r="X149" s="37">
        <v>2187.2</v>
      </c>
      <c r="Y149" s="37">
        <v>0</v>
      </c>
      <c r="Z149" s="37">
        <v>0</v>
      </c>
    </row>
    <row r="150" spans="1:26" s="10" customFormat="1" ht="38.25">
      <c r="A150" s="78"/>
      <c r="B150" s="79"/>
      <c r="C150" s="80"/>
      <c r="D150" s="80" t="s">
        <v>34</v>
      </c>
      <c r="E150" s="81" t="s">
        <v>115</v>
      </c>
      <c r="F150" s="51">
        <f>541.1+36.4</f>
        <v>577.5</v>
      </c>
      <c r="G150" s="51">
        <v>4899.7</v>
      </c>
      <c r="H150" s="31">
        <v>0</v>
      </c>
      <c r="I150" s="52">
        <f>-577.5+5</f>
        <v>-572.5</v>
      </c>
      <c r="J150" s="52">
        <f>F150+I150</f>
        <v>5</v>
      </c>
      <c r="K150" s="52">
        <f>572.5+1614.7-4899.7</f>
        <v>-2712.5</v>
      </c>
      <c r="L150" s="49">
        <f>G150+K150</f>
        <v>2187.2</v>
      </c>
      <c r="M150" s="49">
        <v>0</v>
      </c>
      <c r="N150" s="49">
        <f>H150+M150</f>
        <v>0</v>
      </c>
      <c r="O150" s="52">
        <v>3.5</v>
      </c>
      <c r="P150" s="52">
        <f>J150+O150</f>
        <v>8.5</v>
      </c>
      <c r="Q150" s="52">
        <v>0</v>
      </c>
      <c r="R150" s="49">
        <f>L150+Q150</f>
        <v>2187.2</v>
      </c>
      <c r="S150" s="49">
        <v>0</v>
      </c>
      <c r="T150" s="49">
        <f>N150+S150</f>
        <v>0</v>
      </c>
      <c r="U150" s="37">
        <v>360.7</v>
      </c>
      <c r="V150" s="37">
        <v>369.2</v>
      </c>
      <c r="W150" s="37">
        <v>0</v>
      </c>
      <c r="X150" s="36">
        <v>2187.2</v>
      </c>
      <c r="Y150" s="36">
        <v>0</v>
      </c>
      <c r="Z150" s="36">
        <v>0</v>
      </c>
    </row>
    <row r="151" spans="1:26" s="6" customFormat="1" ht="15">
      <c r="A151" s="67"/>
      <c r="B151" s="84" t="s">
        <v>81</v>
      </c>
      <c r="C151" s="65"/>
      <c r="D151" s="85"/>
      <c r="E151" s="86" t="s">
        <v>84</v>
      </c>
      <c r="F151" s="54" t="e">
        <f>#REF!+F152</f>
        <v>#REF!</v>
      </c>
      <c r="G151" s="54" t="e">
        <f>#REF!+G152</f>
        <v>#REF!</v>
      </c>
      <c r="H151" s="54" t="e">
        <f>#REF!+H152</f>
        <v>#REF!</v>
      </c>
      <c r="I151" s="49" t="e">
        <f>#REF!+I152</f>
        <v>#REF!</v>
      </c>
      <c r="J151" s="49" t="e">
        <f>#REF!+J152</f>
        <v>#REF!</v>
      </c>
      <c r="K151" s="49" t="e">
        <f>#REF!+K152</f>
        <v>#REF!</v>
      </c>
      <c r="L151" s="49" t="e">
        <f>#REF!+L152</f>
        <v>#REF!</v>
      </c>
      <c r="M151" s="49" t="e">
        <f>#REF!+M152</f>
        <v>#REF!</v>
      </c>
      <c r="N151" s="49" t="e">
        <f>#REF!+N152</f>
        <v>#REF!</v>
      </c>
      <c r="O151" s="52" t="e">
        <f>#REF!+O152</f>
        <v>#REF!</v>
      </c>
      <c r="P151" s="49" t="e">
        <f>#REF!+P152</f>
        <v>#REF!</v>
      </c>
      <c r="Q151" s="49" t="e">
        <f>#REF!+Q152</f>
        <v>#REF!</v>
      </c>
      <c r="R151" s="49" t="e">
        <f>#REF!+R152</f>
        <v>#REF!</v>
      </c>
      <c r="S151" s="49" t="e">
        <f>#REF!+S152</f>
        <v>#REF!</v>
      </c>
      <c r="T151" s="49" t="e">
        <f>#REF!+T152</f>
        <v>#REF!</v>
      </c>
      <c r="U151" s="83">
        <v>-3240.6</v>
      </c>
      <c r="V151" s="36">
        <v>128063.90000000001</v>
      </c>
      <c r="W151" s="36">
        <v>0</v>
      </c>
      <c r="X151" s="36">
        <v>65725.9</v>
      </c>
      <c r="Y151" s="36">
        <v>0</v>
      </c>
      <c r="Z151" s="36">
        <v>163247.2</v>
      </c>
    </row>
    <row r="152" spans="1:26" s="5" customFormat="1" ht="15">
      <c r="A152" s="67"/>
      <c r="B152" s="65" t="s">
        <v>82</v>
      </c>
      <c r="C152" s="70"/>
      <c r="D152" s="70"/>
      <c r="E152" s="87" t="s">
        <v>83</v>
      </c>
      <c r="F152" s="32" t="e">
        <f aca="true" t="shared" si="44" ref="F152:T153">F153</f>
        <v>#REF!</v>
      </c>
      <c r="G152" s="32" t="e">
        <f t="shared" si="44"/>
        <v>#REF!</v>
      </c>
      <c r="H152" s="32" t="e">
        <f t="shared" si="44"/>
        <v>#REF!</v>
      </c>
      <c r="I152" s="49" t="e">
        <f t="shared" si="44"/>
        <v>#REF!</v>
      </c>
      <c r="J152" s="49" t="e">
        <f t="shared" si="44"/>
        <v>#REF!</v>
      </c>
      <c r="K152" s="49" t="e">
        <f t="shared" si="44"/>
        <v>#REF!</v>
      </c>
      <c r="L152" s="49" t="e">
        <f t="shared" si="44"/>
        <v>#REF!</v>
      </c>
      <c r="M152" s="49" t="e">
        <f t="shared" si="44"/>
        <v>#REF!</v>
      </c>
      <c r="N152" s="49" t="e">
        <f t="shared" si="44"/>
        <v>#REF!</v>
      </c>
      <c r="O152" s="52" t="e">
        <f t="shared" si="44"/>
        <v>#REF!</v>
      </c>
      <c r="P152" s="49" t="e">
        <f t="shared" si="44"/>
        <v>#REF!</v>
      </c>
      <c r="Q152" s="49" t="e">
        <f t="shared" si="44"/>
        <v>#REF!</v>
      </c>
      <c r="R152" s="49" t="e">
        <f t="shared" si="44"/>
        <v>#REF!</v>
      </c>
      <c r="S152" s="49" t="e">
        <f t="shared" si="44"/>
        <v>#REF!</v>
      </c>
      <c r="T152" s="49" t="e">
        <f t="shared" si="44"/>
        <v>#REF!</v>
      </c>
      <c r="U152" s="83">
        <v>-3240.6</v>
      </c>
      <c r="V152" s="36">
        <v>103720.6</v>
      </c>
      <c r="W152" s="36">
        <v>0</v>
      </c>
      <c r="X152" s="36">
        <v>30732.9</v>
      </c>
      <c r="Y152" s="36">
        <v>0</v>
      </c>
      <c r="Z152" s="36">
        <v>103254.20000000001</v>
      </c>
    </row>
    <row r="153" spans="1:26" s="6" customFormat="1" ht="25.5">
      <c r="A153" s="67"/>
      <c r="B153" s="89"/>
      <c r="C153" s="65" t="s">
        <v>4</v>
      </c>
      <c r="D153" s="65"/>
      <c r="E153" s="90" t="s">
        <v>198</v>
      </c>
      <c r="F153" s="32" t="e">
        <f t="shared" si="44"/>
        <v>#REF!</v>
      </c>
      <c r="G153" s="32" t="e">
        <f t="shared" si="44"/>
        <v>#REF!</v>
      </c>
      <c r="H153" s="32" t="e">
        <f t="shared" si="44"/>
        <v>#REF!</v>
      </c>
      <c r="I153" s="49" t="e">
        <f t="shared" si="44"/>
        <v>#REF!</v>
      </c>
      <c r="J153" s="49" t="e">
        <f t="shared" si="44"/>
        <v>#REF!</v>
      </c>
      <c r="K153" s="49" t="e">
        <f t="shared" si="44"/>
        <v>#REF!</v>
      </c>
      <c r="L153" s="49" t="e">
        <f t="shared" si="44"/>
        <v>#REF!</v>
      </c>
      <c r="M153" s="49" t="e">
        <f t="shared" si="44"/>
        <v>#REF!</v>
      </c>
      <c r="N153" s="49" t="e">
        <f t="shared" si="44"/>
        <v>#REF!</v>
      </c>
      <c r="O153" s="52" t="e">
        <f t="shared" si="44"/>
        <v>#REF!</v>
      </c>
      <c r="P153" s="49" t="e">
        <f t="shared" si="44"/>
        <v>#REF!</v>
      </c>
      <c r="Q153" s="49" t="e">
        <f t="shared" si="44"/>
        <v>#REF!</v>
      </c>
      <c r="R153" s="49" t="e">
        <f t="shared" si="44"/>
        <v>#REF!</v>
      </c>
      <c r="S153" s="49" t="e">
        <f t="shared" si="44"/>
        <v>#REF!</v>
      </c>
      <c r="T153" s="49" t="e">
        <f t="shared" si="44"/>
        <v>#REF!</v>
      </c>
      <c r="U153" s="83">
        <v>-3240.6</v>
      </c>
      <c r="V153" s="36">
        <v>103720.6</v>
      </c>
      <c r="W153" s="36">
        <v>0</v>
      </c>
      <c r="X153" s="36">
        <v>30732.9</v>
      </c>
      <c r="Y153" s="36">
        <v>0</v>
      </c>
      <c r="Z153" s="36">
        <v>103254.20000000001</v>
      </c>
    </row>
    <row r="154" spans="1:26" s="6" customFormat="1" ht="38.25">
      <c r="A154" s="67"/>
      <c r="B154" s="21"/>
      <c r="C154" s="65" t="s">
        <v>5</v>
      </c>
      <c r="D154" s="65"/>
      <c r="E154" s="69" t="s">
        <v>225</v>
      </c>
      <c r="F154" s="32" t="e">
        <f>F155+#REF!</f>
        <v>#REF!</v>
      </c>
      <c r="G154" s="32" t="e">
        <f>G155+#REF!</f>
        <v>#REF!</v>
      </c>
      <c r="H154" s="32" t="e">
        <f>H155+#REF!</f>
        <v>#REF!</v>
      </c>
      <c r="I154" s="49" t="e">
        <f>I155+#REF!</f>
        <v>#REF!</v>
      </c>
      <c r="J154" s="49" t="e">
        <f>J155+#REF!</f>
        <v>#REF!</v>
      </c>
      <c r="K154" s="49" t="e">
        <f>K155+#REF!</f>
        <v>#REF!</v>
      </c>
      <c r="L154" s="49" t="e">
        <f>L155+#REF!</f>
        <v>#REF!</v>
      </c>
      <c r="M154" s="49" t="e">
        <f>M155+#REF!</f>
        <v>#REF!</v>
      </c>
      <c r="N154" s="49" t="e">
        <f>N155+#REF!</f>
        <v>#REF!</v>
      </c>
      <c r="O154" s="52" t="e">
        <f>O155+#REF!</f>
        <v>#REF!</v>
      </c>
      <c r="P154" s="49" t="e">
        <f>P155+#REF!</f>
        <v>#REF!</v>
      </c>
      <c r="Q154" s="49" t="e">
        <f>Q155+#REF!</f>
        <v>#REF!</v>
      </c>
      <c r="R154" s="49" t="e">
        <f>R155+#REF!</f>
        <v>#REF!</v>
      </c>
      <c r="S154" s="49" t="e">
        <f>S155+#REF!</f>
        <v>#REF!</v>
      </c>
      <c r="T154" s="49" t="e">
        <f>T155+#REF!</f>
        <v>#REF!</v>
      </c>
      <c r="U154" s="83">
        <v>-3240.6</v>
      </c>
      <c r="V154" s="36">
        <v>103720.6</v>
      </c>
      <c r="W154" s="36">
        <v>0</v>
      </c>
      <c r="X154" s="36">
        <v>30732.9</v>
      </c>
      <c r="Y154" s="36">
        <v>0</v>
      </c>
      <c r="Z154" s="36">
        <v>103254.20000000001</v>
      </c>
    </row>
    <row r="155" spans="1:26" s="10" customFormat="1" ht="40.5" customHeight="1">
      <c r="A155" s="78"/>
      <c r="B155" s="79"/>
      <c r="C155" s="80" t="s">
        <v>3</v>
      </c>
      <c r="D155" s="80"/>
      <c r="E155" s="81" t="s">
        <v>117</v>
      </c>
      <c r="F155" s="31" t="e">
        <f>F156+#REF!+#REF!+#REF!+#REF!+F158</f>
        <v>#REF!</v>
      </c>
      <c r="G155" s="31" t="e">
        <f>G156+#REF!+#REF!+#REF!+#REF!+G158</f>
        <v>#REF!</v>
      </c>
      <c r="H155" s="31" t="e">
        <f>H156+#REF!+#REF!+#REF!+#REF!+H158</f>
        <v>#REF!</v>
      </c>
      <c r="I155" s="49" t="e">
        <f>I156+#REF!+#REF!+#REF!+#REF!+I158</f>
        <v>#REF!</v>
      </c>
      <c r="J155" s="49" t="e">
        <f>J156+#REF!+#REF!+#REF!+#REF!+J158</f>
        <v>#REF!</v>
      </c>
      <c r="K155" s="49" t="e">
        <f>K156+#REF!+#REF!+#REF!+#REF!+K158</f>
        <v>#REF!</v>
      </c>
      <c r="L155" s="49" t="e">
        <f>L156+#REF!+#REF!+#REF!+#REF!+L158</f>
        <v>#REF!</v>
      </c>
      <c r="M155" s="49" t="e">
        <f>M156+#REF!+#REF!+#REF!+#REF!+M158</f>
        <v>#REF!</v>
      </c>
      <c r="N155" s="49" t="e">
        <f>N156+#REF!+#REF!+#REF!+#REF!+N158</f>
        <v>#REF!</v>
      </c>
      <c r="O155" s="52" t="e">
        <f>O156+#REF!+#REF!+#REF!+#REF!+O158</f>
        <v>#REF!</v>
      </c>
      <c r="P155" s="49" t="e">
        <f>P156+#REF!+#REF!+#REF!+#REF!+P158</f>
        <v>#REF!</v>
      </c>
      <c r="Q155" s="49" t="e">
        <f>Q156+#REF!+#REF!+#REF!+#REF!+Q158</f>
        <v>#REF!</v>
      </c>
      <c r="R155" s="49" t="e">
        <f>R156+#REF!+#REF!+#REF!+#REF!+R158</f>
        <v>#REF!</v>
      </c>
      <c r="S155" s="49" t="e">
        <f>S156+#REF!+#REF!+#REF!+#REF!+S158</f>
        <v>#REF!</v>
      </c>
      <c r="T155" s="49" t="e">
        <f>T156+#REF!+#REF!+#REF!+#REF!+T158</f>
        <v>#REF!</v>
      </c>
      <c r="U155" s="83">
        <v>-3240.6</v>
      </c>
      <c r="V155" s="36">
        <v>5262</v>
      </c>
      <c r="W155" s="36">
        <v>0</v>
      </c>
      <c r="X155" s="36">
        <v>30732.9</v>
      </c>
      <c r="Y155" s="36">
        <v>0</v>
      </c>
      <c r="Z155" s="36">
        <v>103254.20000000001</v>
      </c>
    </row>
    <row r="156" spans="1:26" s="6" customFormat="1" ht="51">
      <c r="A156" s="67"/>
      <c r="B156" s="21"/>
      <c r="C156" s="65" t="s">
        <v>93</v>
      </c>
      <c r="D156" s="21"/>
      <c r="E156" s="69" t="s">
        <v>188</v>
      </c>
      <c r="F156" s="32">
        <f aca="true" t="shared" si="45" ref="F156:N156">F157</f>
        <v>5947.9</v>
      </c>
      <c r="G156" s="32">
        <f t="shared" si="45"/>
        <v>0</v>
      </c>
      <c r="H156" s="32">
        <f t="shared" si="45"/>
        <v>50763.8</v>
      </c>
      <c r="I156" s="49">
        <f t="shared" si="45"/>
        <v>319.6</v>
      </c>
      <c r="J156" s="49">
        <f t="shared" si="45"/>
        <v>6267.5</v>
      </c>
      <c r="K156" s="49">
        <f t="shared" si="45"/>
        <v>0</v>
      </c>
      <c r="L156" s="49">
        <f t="shared" si="45"/>
        <v>0</v>
      </c>
      <c r="M156" s="49">
        <f t="shared" si="45"/>
        <v>0</v>
      </c>
      <c r="N156" s="49">
        <f t="shared" si="45"/>
        <v>50763.8</v>
      </c>
      <c r="O156" s="52">
        <f aca="true" t="shared" si="46" ref="O156:T156">O157</f>
        <v>-4501.4</v>
      </c>
      <c r="P156" s="49">
        <f t="shared" si="46"/>
        <v>1766.1000000000004</v>
      </c>
      <c r="Q156" s="49">
        <f t="shared" si="46"/>
        <v>0</v>
      </c>
      <c r="R156" s="49">
        <f t="shared" si="46"/>
        <v>0</v>
      </c>
      <c r="S156" s="49">
        <f t="shared" si="46"/>
        <v>0</v>
      </c>
      <c r="T156" s="49">
        <f t="shared" si="46"/>
        <v>50763.8</v>
      </c>
      <c r="U156" s="83">
        <v>-1164.6</v>
      </c>
      <c r="V156" s="37">
        <v>601.5000000000005</v>
      </c>
      <c r="W156" s="37">
        <v>0</v>
      </c>
      <c r="X156" s="37">
        <v>0</v>
      </c>
      <c r="Y156" s="37">
        <v>0</v>
      </c>
      <c r="Z156" s="37">
        <v>50763.8</v>
      </c>
    </row>
    <row r="157" spans="1:26" s="6" customFormat="1" ht="38.25">
      <c r="A157" s="67"/>
      <c r="B157" s="21"/>
      <c r="C157" s="21"/>
      <c r="D157" s="65" t="s">
        <v>34</v>
      </c>
      <c r="E157" s="88" t="s">
        <v>115</v>
      </c>
      <c r="F157" s="54">
        <v>5947.9</v>
      </c>
      <c r="G157" s="54">
        <v>0</v>
      </c>
      <c r="H157" s="54">
        <v>50763.8</v>
      </c>
      <c r="I157" s="49">
        <f>180.7+138.9</f>
        <v>319.6</v>
      </c>
      <c r="J157" s="49">
        <f>F157+I157</f>
        <v>6267.5</v>
      </c>
      <c r="K157" s="49">
        <v>0</v>
      </c>
      <c r="L157" s="49">
        <f>G157+K157</f>
        <v>0</v>
      </c>
      <c r="M157" s="49">
        <v>0</v>
      </c>
      <c r="N157" s="49">
        <f>H157+M157</f>
        <v>50763.8</v>
      </c>
      <c r="O157" s="52">
        <v>-4501.4</v>
      </c>
      <c r="P157" s="49">
        <f>J157+O157</f>
        <v>1766.1000000000004</v>
      </c>
      <c r="Q157" s="49">
        <v>0</v>
      </c>
      <c r="R157" s="49">
        <f>L157+Q157</f>
        <v>0</v>
      </c>
      <c r="S157" s="49">
        <v>0</v>
      </c>
      <c r="T157" s="49">
        <f>N157+S157</f>
        <v>50763.8</v>
      </c>
      <c r="U157" s="37">
        <v>-1164.6</v>
      </c>
      <c r="V157" s="36">
        <v>601.5000000000005</v>
      </c>
      <c r="W157" s="36">
        <v>0</v>
      </c>
      <c r="X157" s="36">
        <v>0</v>
      </c>
      <c r="Y157" s="36">
        <v>0</v>
      </c>
      <c r="Z157" s="36">
        <v>50763.8</v>
      </c>
    </row>
    <row r="158" spans="1:26" s="6" customFormat="1" ht="51">
      <c r="A158" s="67"/>
      <c r="B158" s="21"/>
      <c r="C158" s="91" t="s">
        <v>246</v>
      </c>
      <c r="D158" s="65"/>
      <c r="E158" s="88" t="s">
        <v>247</v>
      </c>
      <c r="F158" s="50">
        <f>F159</f>
        <v>6725.4</v>
      </c>
      <c r="G158" s="50">
        <f>G159</f>
        <v>0</v>
      </c>
      <c r="H158" s="50">
        <f>H159</f>
        <v>0</v>
      </c>
      <c r="I158" s="49"/>
      <c r="J158" s="49">
        <f>J159</f>
        <v>6725.4</v>
      </c>
      <c r="K158" s="49"/>
      <c r="L158" s="49">
        <f>L159</f>
        <v>0</v>
      </c>
      <c r="M158" s="49"/>
      <c r="N158" s="49">
        <f>N159</f>
        <v>0</v>
      </c>
      <c r="O158" s="49"/>
      <c r="P158" s="49">
        <f>P159</f>
        <v>6725.4</v>
      </c>
      <c r="Q158" s="49"/>
      <c r="R158" s="49">
        <f>R159</f>
        <v>0</v>
      </c>
      <c r="S158" s="49"/>
      <c r="T158" s="49">
        <f>T159</f>
        <v>0</v>
      </c>
      <c r="U158" s="83">
        <v>-2076</v>
      </c>
      <c r="V158" s="36">
        <v>4649.4</v>
      </c>
      <c r="W158" s="36">
        <v>0</v>
      </c>
      <c r="X158" s="36">
        <v>0</v>
      </c>
      <c r="Y158" s="36">
        <v>0</v>
      </c>
      <c r="Z158" s="36">
        <v>0</v>
      </c>
    </row>
    <row r="159" spans="1:26" s="6" customFormat="1" ht="38.25">
      <c r="A159" s="67"/>
      <c r="B159" s="21"/>
      <c r="C159" s="21"/>
      <c r="D159" s="65" t="s">
        <v>34</v>
      </c>
      <c r="E159" s="88" t="s">
        <v>115</v>
      </c>
      <c r="F159" s="54">
        <v>6725.4</v>
      </c>
      <c r="G159" s="54">
        <v>0</v>
      </c>
      <c r="H159" s="54">
        <v>0</v>
      </c>
      <c r="I159" s="49"/>
      <c r="J159" s="49">
        <f>F159+I159</f>
        <v>6725.4</v>
      </c>
      <c r="K159" s="49"/>
      <c r="L159" s="49">
        <f>G159+K159</f>
        <v>0</v>
      </c>
      <c r="M159" s="49"/>
      <c r="N159" s="49">
        <f>H159+M159</f>
        <v>0</v>
      </c>
      <c r="O159" s="49"/>
      <c r="P159" s="49">
        <f>J159+O159</f>
        <v>6725.4</v>
      </c>
      <c r="Q159" s="49"/>
      <c r="R159" s="49">
        <f>L159+Q159</f>
        <v>0</v>
      </c>
      <c r="S159" s="49"/>
      <c r="T159" s="49">
        <f>N159+S159</f>
        <v>0</v>
      </c>
      <c r="U159" s="83">
        <v>-2076</v>
      </c>
      <c r="V159" s="36">
        <v>4649.4</v>
      </c>
      <c r="W159" s="36">
        <v>0</v>
      </c>
      <c r="X159" s="36">
        <v>0</v>
      </c>
      <c r="Y159" s="36">
        <v>0</v>
      </c>
      <c r="Z159" s="36">
        <v>0</v>
      </c>
    </row>
    <row r="160" spans="1:26" s="6" customFormat="1" ht="15">
      <c r="A160" s="67"/>
      <c r="B160" s="74" t="s">
        <v>47</v>
      </c>
      <c r="C160" s="74"/>
      <c r="D160" s="74"/>
      <c r="E160" s="93" t="s">
        <v>45</v>
      </c>
      <c r="F160" s="54" t="e">
        <f aca="true" t="shared" si="47" ref="F160:T161">F161</f>
        <v>#REF!</v>
      </c>
      <c r="G160" s="54" t="e">
        <f t="shared" si="47"/>
        <v>#REF!</v>
      </c>
      <c r="H160" s="54" t="e">
        <f t="shared" si="47"/>
        <v>#REF!</v>
      </c>
      <c r="I160" s="49" t="e">
        <f t="shared" si="47"/>
        <v>#REF!</v>
      </c>
      <c r="J160" s="49" t="e">
        <f t="shared" si="47"/>
        <v>#REF!</v>
      </c>
      <c r="K160" s="49" t="e">
        <f t="shared" si="47"/>
        <v>#REF!</v>
      </c>
      <c r="L160" s="49" t="e">
        <f t="shared" si="47"/>
        <v>#REF!</v>
      </c>
      <c r="M160" s="49" t="e">
        <f t="shared" si="47"/>
        <v>#REF!</v>
      </c>
      <c r="N160" s="49" t="e">
        <f t="shared" si="47"/>
        <v>#REF!</v>
      </c>
      <c r="O160" s="49"/>
      <c r="P160" s="49" t="e">
        <f t="shared" si="47"/>
        <v>#REF!</v>
      </c>
      <c r="Q160" s="49"/>
      <c r="R160" s="49" t="e">
        <f t="shared" si="47"/>
        <v>#REF!</v>
      </c>
      <c r="S160" s="49"/>
      <c r="T160" s="49" t="e">
        <f t="shared" si="47"/>
        <v>#REF!</v>
      </c>
      <c r="U160" s="36">
        <v>1164.6</v>
      </c>
      <c r="V160" s="36">
        <v>164882.3</v>
      </c>
      <c r="W160" s="36">
        <v>0</v>
      </c>
      <c r="X160" s="36">
        <v>55053.8</v>
      </c>
      <c r="Y160" s="36">
        <v>0</v>
      </c>
      <c r="Z160" s="36">
        <v>30331.9</v>
      </c>
    </row>
    <row r="161" spans="1:26" s="3" customFormat="1" ht="15">
      <c r="A161" s="67"/>
      <c r="B161" s="65" t="s">
        <v>23</v>
      </c>
      <c r="C161" s="65"/>
      <c r="D161" s="65"/>
      <c r="E161" s="94" t="s">
        <v>24</v>
      </c>
      <c r="F161" s="32" t="e">
        <f t="shared" si="47"/>
        <v>#REF!</v>
      </c>
      <c r="G161" s="32" t="e">
        <f t="shared" si="47"/>
        <v>#REF!</v>
      </c>
      <c r="H161" s="32" t="e">
        <f t="shared" si="47"/>
        <v>#REF!</v>
      </c>
      <c r="I161" s="49" t="e">
        <f t="shared" si="47"/>
        <v>#REF!</v>
      </c>
      <c r="J161" s="49" t="e">
        <f t="shared" si="47"/>
        <v>#REF!</v>
      </c>
      <c r="K161" s="49" t="e">
        <f t="shared" si="47"/>
        <v>#REF!</v>
      </c>
      <c r="L161" s="49" t="e">
        <f t="shared" si="47"/>
        <v>#REF!</v>
      </c>
      <c r="M161" s="49" t="e">
        <f t="shared" si="47"/>
        <v>#REF!</v>
      </c>
      <c r="N161" s="49" t="e">
        <f t="shared" si="47"/>
        <v>#REF!</v>
      </c>
      <c r="O161" s="49"/>
      <c r="P161" s="49" t="e">
        <f t="shared" si="47"/>
        <v>#REF!</v>
      </c>
      <c r="Q161" s="49"/>
      <c r="R161" s="49" t="e">
        <f t="shared" si="47"/>
        <v>#REF!</v>
      </c>
      <c r="S161" s="49"/>
      <c r="T161" s="49" t="e">
        <f t="shared" si="47"/>
        <v>#REF!</v>
      </c>
      <c r="U161" s="36">
        <v>1164.6</v>
      </c>
      <c r="V161" s="36">
        <v>164882.3</v>
      </c>
      <c r="W161" s="36">
        <v>0</v>
      </c>
      <c r="X161" s="36">
        <v>55053.8</v>
      </c>
      <c r="Y161" s="36">
        <v>0</v>
      </c>
      <c r="Z161" s="36">
        <v>30331.9</v>
      </c>
    </row>
    <row r="162" spans="1:26" s="2" customFormat="1" ht="25.5">
      <c r="A162" s="67"/>
      <c r="B162" s="65"/>
      <c r="C162" s="74" t="s">
        <v>8</v>
      </c>
      <c r="D162" s="65"/>
      <c r="E162" s="95" t="s">
        <v>199</v>
      </c>
      <c r="F162" s="32" t="e">
        <f>F163+#REF!</f>
        <v>#REF!</v>
      </c>
      <c r="G162" s="32" t="e">
        <f>G163+#REF!</f>
        <v>#REF!</v>
      </c>
      <c r="H162" s="32" t="e">
        <f>H163+#REF!</f>
        <v>#REF!</v>
      </c>
      <c r="I162" s="49" t="e">
        <f>I163+#REF!</f>
        <v>#REF!</v>
      </c>
      <c r="J162" s="49" t="e">
        <f>J163+#REF!</f>
        <v>#REF!</v>
      </c>
      <c r="K162" s="49" t="e">
        <f>K163+#REF!</f>
        <v>#REF!</v>
      </c>
      <c r="L162" s="49" t="e">
        <f>L163+#REF!</f>
        <v>#REF!</v>
      </c>
      <c r="M162" s="49" t="e">
        <f>M163+#REF!</f>
        <v>#REF!</v>
      </c>
      <c r="N162" s="49" t="e">
        <f>N163+#REF!</f>
        <v>#REF!</v>
      </c>
      <c r="O162" s="49"/>
      <c r="P162" s="49" t="e">
        <f>P163+#REF!</f>
        <v>#REF!</v>
      </c>
      <c r="Q162" s="49"/>
      <c r="R162" s="49" t="e">
        <f>R163+#REF!</f>
        <v>#REF!</v>
      </c>
      <c r="S162" s="49"/>
      <c r="T162" s="49" t="e">
        <f>T163+#REF!</f>
        <v>#REF!</v>
      </c>
      <c r="U162" s="36">
        <v>1164.6</v>
      </c>
      <c r="V162" s="36">
        <v>164882.3</v>
      </c>
      <c r="W162" s="36">
        <v>0</v>
      </c>
      <c r="X162" s="36">
        <v>55053.8</v>
      </c>
      <c r="Y162" s="36">
        <v>0</v>
      </c>
      <c r="Z162" s="36">
        <v>30331.9</v>
      </c>
    </row>
    <row r="163" spans="1:26" s="3" customFormat="1" ht="25.5">
      <c r="A163" s="67"/>
      <c r="B163" s="65"/>
      <c r="C163" s="65" t="s">
        <v>9</v>
      </c>
      <c r="D163" s="65"/>
      <c r="E163" s="95" t="s">
        <v>25</v>
      </c>
      <c r="F163" s="32" t="e">
        <f>F164+#REF!</f>
        <v>#REF!</v>
      </c>
      <c r="G163" s="32" t="e">
        <f>G164+#REF!</f>
        <v>#REF!</v>
      </c>
      <c r="H163" s="32" t="e">
        <f>H164+#REF!</f>
        <v>#REF!</v>
      </c>
      <c r="I163" s="49" t="e">
        <f>I164+#REF!</f>
        <v>#REF!</v>
      </c>
      <c r="J163" s="49" t="e">
        <f>J164+#REF!</f>
        <v>#REF!</v>
      </c>
      <c r="K163" s="49" t="e">
        <f>K164+#REF!</f>
        <v>#REF!</v>
      </c>
      <c r="L163" s="49" t="e">
        <f>L164+#REF!</f>
        <v>#REF!</v>
      </c>
      <c r="M163" s="49" t="e">
        <f>M164+#REF!</f>
        <v>#REF!</v>
      </c>
      <c r="N163" s="49" t="e">
        <f>N164+#REF!</f>
        <v>#REF!</v>
      </c>
      <c r="O163" s="49"/>
      <c r="P163" s="49" t="e">
        <f>P164+#REF!</f>
        <v>#REF!</v>
      </c>
      <c r="Q163" s="49"/>
      <c r="R163" s="49" t="e">
        <f>R164+#REF!</f>
        <v>#REF!</v>
      </c>
      <c r="S163" s="49"/>
      <c r="T163" s="49" t="e">
        <f>T164+#REF!</f>
        <v>#REF!</v>
      </c>
      <c r="U163" s="36">
        <v>1164.6</v>
      </c>
      <c r="V163" s="36">
        <v>164882.3</v>
      </c>
      <c r="W163" s="36">
        <v>0</v>
      </c>
      <c r="X163" s="36">
        <v>50000</v>
      </c>
      <c r="Y163" s="36">
        <v>0</v>
      </c>
      <c r="Z163" s="36">
        <v>30331.9</v>
      </c>
    </row>
    <row r="164" spans="1:26" s="10" customFormat="1" ht="39" customHeight="1">
      <c r="A164" s="78"/>
      <c r="B164" s="79"/>
      <c r="C164" s="80" t="s">
        <v>167</v>
      </c>
      <c r="D164" s="80"/>
      <c r="E164" s="81" t="s">
        <v>117</v>
      </c>
      <c r="F164" s="31" t="e">
        <f>#REF!+#REF!+#REF!+#REF!+F165+#REF!+#REF!+#REF!+#REF!+#REF!</f>
        <v>#REF!</v>
      </c>
      <c r="G164" s="31" t="e">
        <f>#REF!+#REF!+#REF!+#REF!+G165+#REF!+#REF!+#REF!+#REF!+#REF!</f>
        <v>#REF!</v>
      </c>
      <c r="H164" s="31" t="e">
        <f>#REF!+#REF!+#REF!+#REF!+H165+#REF!+#REF!+#REF!+#REF!+#REF!</f>
        <v>#REF!</v>
      </c>
      <c r="I164" s="49" t="e">
        <f>#REF!+#REF!+#REF!+#REF!+I165+#REF!+#REF!+#REF!+#REF!+#REF!+#REF!+#REF!</f>
        <v>#REF!</v>
      </c>
      <c r="J164" s="49" t="e">
        <f>#REF!+#REF!+#REF!+#REF!+J165+#REF!+#REF!+#REF!+#REF!+#REF!+#REF!+#REF!</f>
        <v>#REF!</v>
      </c>
      <c r="K164" s="49" t="e">
        <f>#REF!+#REF!+#REF!+#REF!+K165+#REF!+#REF!+#REF!+#REF!+#REF!+#REF!+#REF!</f>
        <v>#REF!</v>
      </c>
      <c r="L164" s="49" t="e">
        <f>#REF!+#REF!+#REF!+#REF!+L165+#REF!+#REF!+#REF!+#REF!+#REF!+#REF!+#REF!</f>
        <v>#REF!</v>
      </c>
      <c r="M164" s="49" t="e">
        <f>#REF!+#REF!+#REF!+#REF!+M165+#REF!+#REF!+#REF!+#REF!+#REF!+#REF!+#REF!</f>
        <v>#REF!</v>
      </c>
      <c r="N164" s="49" t="e">
        <f>#REF!+#REF!+#REF!+#REF!+N165+#REF!+#REF!+#REF!+#REF!+#REF!+#REF!+#REF!</f>
        <v>#REF!</v>
      </c>
      <c r="O164" s="49"/>
      <c r="P164" s="49" t="e">
        <f>#REF!+#REF!+#REF!+#REF!+P165+#REF!+#REF!+#REF!+#REF!+#REF!+#REF!+#REF!</f>
        <v>#REF!</v>
      </c>
      <c r="Q164" s="49"/>
      <c r="R164" s="49" t="e">
        <f>#REF!+#REF!+#REF!+#REF!+R165+#REF!+#REF!+#REF!+#REF!+#REF!+#REF!+#REF!</f>
        <v>#REF!</v>
      </c>
      <c r="S164" s="49"/>
      <c r="T164" s="49" t="e">
        <f>#REF!+#REF!+#REF!+#REF!+T165+#REF!+#REF!+#REF!+#REF!+#REF!+#REF!+#REF!</f>
        <v>#REF!</v>
      </c>
      <c r="U164" s="36">
        <v>1164.6</v>
      </c>
      <c r="V164" s="36">
        <v>164143.4</v>
      </c>
      <c r="W164" s="36">
        <v>0</v>
      </c>
      <c r="X164" s="36">
        <v>50000</v>
      </c>
      <c r="Y164" s="36">
        <v>0</v>
      </c>
      <c r="Z164" s="36">
        <v>30331.9</v>
      </c>
    </row>
    <row r="165" spans="1:26" s="25" customFormat="1" ht="38.25">
      <c r="A165" s="67"/>
      <c r="B165" s="21"/>
      <c r="C165" s="65" t="s">
        <v>227</v>
      </c>
      <c r="D165" s="65"/>
      <c r="E165" s="92" t="s">
        <v>228</v>
      </c>
      <c r="F165" s="32">
        <f aca="true" t="shared" si="48" ref="F165:N165">F166</f>
        <v>0</v>
      </c>
      <c r="G165" s="32">
        <f t="shared" si="48"/>
        <v>0</v>
      </c>
      <c r="H165" s="32">
        <f t="shared" si="48"/>
        <v>0</v>
      </c>
      <c r="I165" s="49">
        <f t="shared" si="48"/>
        <v>13481.3</v>
      </c>
      <c r="J165" s="49">
        <f t="shared" si="48"/>
        <v>13481.3</v>
      </c>
      <c r="K165" s="49">
        <f t="shared" si="48"/>
        <v>0</v>
      </c>
      <c r="L165" s="49">
        <f t="shared" si="48"/>
        <v>0</v>
      </c>
      <c r="M165" s="49">
        <f t="shared" si="48"/>
        <v>0</v>
      </c>
      <c r="N165" s="49">
        <f t="shared" si="48"/>
        <v>0</v>
      </c>
      <c r="O165" s="49"/>
      <c r="P165" s="49">
        <f>P166</f>
        <v>13481.3</v>
      </c>
      <c r="Q165" s="49"/>
      <c r="R165" s="49">
        <f>R166</f>
        <v>0</v>
      </c>
      <c r="S165" s="49"/>
      <c r="T165" s="49">
        <f>T166</f>
        <v>0</v>
      </c>
      <c r="U165" s="36">
        <v>1164.6</v>
      </c>
      <c r="V165" s="36">
        <v>14645.9</v>
      </c>
      <c r="W165" s="36">
        <v>0</v>
      </c>
      <c r="X165" s="36">
        <v>0</v>
      </c>
      <c r="Y165" s="36">
        <v>0</v>
      </c>
      <c r="Z165" s="36">
        <v>0</v>
      </c>
    </row>
    <row r="166" spans="1:26" s="25" customFormat="1" ht="38.25">
      <c r="A166" s="67"/>
      <c r="B166" s="21"/>
      <c r="C166" s="65"/>
      <c r="D166" s="65" t="s">
        <v>34</v>
      </c>
      <c r="E166" s="92" t="s">
        <v>115</v>
      </c>
      <c r="F166" s="32"/>
      <c r="G166" s="32"/>
      <c r="H166" s="32"/>
      <c r="I166" s="49">
        <f>13481.3</f>
        <v>13481.3</v>
      </c>
      <c r="J166" s="49">
        <f>F166+I166</f>
        <v>13481.3</v>
      </c>
      <c r="K166" s="49">
        <v>0</v>
      </c>
      <c r="L166" s="49">
        <f>G166+K166</f>
        <v>0</v>
      </c>
      <c r="M166" s="49">
        <v>0</v>
      </c>
      <c r="N166" s="49">
        <f>H166+M166</f>
        <v>0</v>
      </c>
      <c r="O166" s="49"/>
      <c r="P166" s="49">
        <f>J166+O166</f>
        <v>13481.3</v>
      </c>
      <c r="Q166" s="49"/>
      <c r="R166" s="49">
        <f>L166+Q166</f>
        <v>0</v>
      </c>
      <c r="S166" s="49"/>
      <c r="T166" s="49">
        <f>N166+S166</f>
        <v>0</v>
      </c>
      <c r="U166" s="36">
        <v>1164.6</v>
      </c>
      <c r="V166" s="36">
        <v>14645.9</v>
      </c>
      <c r="W166" s="36">
        <v>0</v>
      </c>
      <c r="X166" s="36">
        <v>0</v>
      </c>
      <c r="Y166" s="36">
        <v>0</v>
      </c>
      <c r="Z166" s="36">
        <v>0</v>
      </c>
    </row>
    <row r="167" spans="1:26" s="34" customFormat="1" ht="15">
      <c r="A167" s="102"/>
      <c r="B167" s="91">
        <v>1200</v>
      </c>
      <c r="C167" s="103"/>
      <c r="D167" s="103"/>
      <c r="E167" s="92" t="s">
        <v>222</v>
      </c>
      <c r="F167" s="32">
        <f aca="true" t="shared" si="49" ref="F167:H170">F168</f>
        <v>6420.7</v>
      </c>
      <c r="G167" s="32">
        <f t="shared" si="49"/>
        <v>6420.7</v>
      </c>
      <c r="H167" s="32">
        <f t="shared" si="49"/>
        <v>6420.7</v>
      </c>
      <c r="I167" s="49"/>
      <c r="J167" s="49">
        <f>J168</f>
        <v>6420.7</v>
      </c>
      <c r="K167" s="49"/>
      <c r="L167" s="49">
        <f>L168</f>
        <v>6420.7</v>
      </c>
      <c r="M167" s="49"/>
      <c r="N167" s="49">
        <f>N168</f>
        <v>6420.7</v>
      </c>
      <c r="O167" s="49"/>
      <c r="P167" s="49">
        <f>P168</f>
        <v>6420.7</v>
      </c>
      <c r="Q167" s="49"/>
      <c r="R167" s="49">
        <f>R168</f>
        <v>6420.7</v>
      </c>
      <c r="S167" s="49"/>
      <c r="T167" s="49">
        <f>T168</f>
        <v>6420.7</v>
      </c>
      <c r="U167" s="83">
        <v>0</v>
      </c>
      <c r="V167" s="83">
        <v>6420.7</v>
      </c>
      <c r="W167" s="83">
        <v>0</v>
      </c>
      <c r="X167" s="83">
        <v>6420.7</v>
      </c>
      <c r="Y167" s="83">
        <v>0</v>
      </c>
      <c r="Z167" s="83">
        <v>6420.7</v>
      </c>
    </row>
    <row r="168" spans="1:26" s="34" customFormat="1" ht="15">
      <c r="A168" s="102"/>
      <c r="B168" s="91">
        <v>1202</v>
      </c>
      <c r="C168" s="103"/>
      <c r="D168" s="103"/>
      <c r="E168" s="92" t="s">
        <v>223</v>
      </c>
      <c r="F168" s="32">
        <f t="shared" si="49"/>
        <v>6420.7</v>
      </c>
      <c r="G168" s="32">
        <f t="shared" si="49"/>
        <v>6420.7</v>
      </c>
      <c r="H168" s="32">
        <f t="shared" si="49"/>
        <v>6420.7</v>
      </c>
      <c r="I168" s="49"/>
      <c r="J168" s="49">
        <f>J169</f>
        <v>6420.7</v>
      </c>
      <c r="K168" s="49"/>
      <c r="L168" s="49">
        <f>L169</f>
        <v>6420.7</v>
      </c>
      <c r="M168" s="49"/>
      <c r="N168" s="49">
        <f>N169</f>
        <v>6420.7</v>
      </c>
      <c r="O168" s="49"/>
      <c r="P168" s="49">
        <f>P169</f>
        <v>6420.7</v>
      </c>
      <c r="Q168" s="49"/>
      <c r="R168" s="49">
        <f>R169</f>
        <v>6420.7</v>
      </c>
      <c r="S168" s="49"/>
      <c r="T168" s="49">
        <f>T169</f>
        <v>6420.7</v>
      </c>
      <c r="U168" s="83">
        <v>0</v>
      </c>
      <c r="V168" s="83">
        <v>6420.7</v>
      </c>
      <c r="W168" s="83">
        <v>0</v>
      </c>
      <c r="X168" s="83">
        <v>6420.7</v>
      </c>
      <c r="Y168" s="83">
        <v>0</v>
      </c>
      <c r="Z168" s="83">
        <v>6420.7</v>
      </c>
    </row>
    <row r="169" spans="1:26" s="34" customFormat="1" ht="25.5">
      <c r="A169" s="102"/>
      <c r="B169" s="91"/>
      <c r="C169" s="103" t="s">
        <v>120</v>
      </c>
      <c r="D169" s="103"/>
      <c r="E169" s="92" t="s">
        <v>218</v>
      </c>
      <c r="F169" s="32">
        <f t="shared" si="49"/>
        <v>6420.7</v>
      </c>
      <c r="G169" s="32">
        <f t="shared" si="49"/>
        <v>6420.7</v>
      </c>
      <c r="H169" s="32">
        <f t="shared" si="49"/>
        <v>6420.7</v>
      </c>
      <c r="I169" s="49"/>
      <c r="J169" s="49">
        <f>J170</f>
        <v>6420.7</v>
      </c>
      <c r="K169" s="49"/>
      <c r="L169" s="49">
        <f>L170</f>
        <v>6420.7</v>
      </c>
      <c r="M169" s="49"/>
      <c r="N169" s="49">
        <f>N170</f>
        <v>6420.7</v>
      </c>
      <c r="O169" s="49"/>
      <c r="P169" s="49">
        <f>P170</f>
        <v>6420.7</v>
      </c>
      <c r="Q169" s="49"/>
      <c r="R169" s="49">
        <f>R170</f>
        <v>6420.7</v>
      </c>
      <c r="S169" s="49"/>
      <c r="T169" s="49">
        <f>T170</f>
        <v>6420.7</v>
      </c>
      <c r="U169" s="83">
        <v>0</v>
      </c>
      <c r="V169" s="83">
        <v>6420.7</v>
      </c>
      <c r="W169" s="83">
        <v>0</v>
      </c>
      <c r="X169" s="83">
        <v>6420.7</v>
      </c>
      <c r="Y169" s="83">
        <v>0</v>
      </c>
      <c r="Z169" s="83">
        <v>6420.7</v>
      </c>
    </row>
    <row r="170" spans="1:26" s="34" customFormat="1" ht="15">
      <c r="A170" s="102"/>
      <c r="B170" s="91"/>
      <c r="C170" s="103" t="s">
        <v>121</v>
      </c>
      <c r="D170" s="103"/>
      <c r="E170" s="92" t="s">
        <v>20</v>
      </c>
      <c r="F170" s="32">
        <f t="shared" si="49"/>
        <v>6420.7</v>
      </c>
      <c r="G170" s="32">
        <f t="shared" si="49"/>
        <v>6420.7</v>
      </c>
      <c r="H170" s="32">
        <f t="shared" si="49"/>
        <v>6420.7</v>
      </c>
      <c r="I170" s="49"/>
      <c r="J170" s="49">
        <f>J171</f>
        <v>6420.7</v>
      </c>
      <c r="K170" s="49"/>
      <c r="L170" s="49">
        <f>L171</f>
        <v>6420.7</v>
      </c>
      <c r="M170" s="49"/>
      <c r="N170" s="49">
        <f>N171</f>
        <v>6420.7</v>
      </c>
      <c r="O170" s="49"/>
      <c r="P170" s="49">
        <f>P171</f>
        <v>6420.7</v>
      </c>
      <c r="Q170" s="49"/>
      <c r="R170" s="49">
        <f>R171</f>
        <v>6420.7</v>
      </c>
      <c r="S170" s="49"/>
      <c r="T170" s="49">
        <f>T171</f>
        <v>6420.7</v>
      </c>
      <c r="U170" s="83">
        <v>0</v>
      </c>
      <c r="V170" s="83">
        <v>6420.7</v>
      </c>
      <c r="W170" s="83">
        <v>0</v>
      </c>
      <c r="X170" s="83">
        <v>6420.7</v>
      </c>
      <c r="Y170" s="83">
        <v>0</v>
      </c>
      <c r="Z170" s="83">
        <v>6420.7</v>
      </c>
    </row>
    <row r="171" spans="1:26" s="34" customFormat="1" ht="25.5">
      <c r="A171" s="102"/>
      <c r="B171" s="104"/>
      <c r="C171" s="103" t="s">
        <v>122</v>
      </c>
      <c r="D171" s="103"/>
      <c r="E171" s="92" t="s">
        <v>7</v>
      </c>
      <c r="F171" s="32">
        <f>F174</f>
        <v>6420.7</v>
      </c>
      <c r="G171" s="32">
        <f>G174</f>
        <v>6420.7</v>
      </c>
      <c r="H171" s="32">
        <f>H174</f>
        <v>6420.7</v>
      </c>
      <c r="I171" s="49"/>
      <c r="J171" s="49">
        <f>J174</f>
        <v>6420.7</v>
      </c>
      <c r="K171" s="49"/>
      <c r="L171" s="49">
        <f>L174</f>
        <v>6420.7</v>
      </c>
      <c r="M171" s="49"/>
      <c r="N171" s="49">
        <f>N174</f>
        <v>6420.7</v>
      </c>
      <c r="O171" s="49"/>
      <c r="P171" s="49">
        <f>P174</f>
        <v>6420.7</v>
      </c>
      <c r="Q171" s="49"/>
      <c r="R171" s="49">
        <f>R174</f>
        <v>6420.7</v>
      </c>
      <c r="S171" s="49"/>
      <c r="T171" s="49">
        <f>T174</f>
        <v>6420.7</v>
      </c>
      <c r="U171" s="83">
        <v>0</v>
      </c>
      <c r="V171" s="83">
        <v>6420.7</v>
      </c>
      <c r="W171" s="83">
        <v>0</v>
      </c>
      <c r="X171" s="83">
        <v>6420.7</v>
      </c>
      <c r="Y171" s="83">
        <v>0</v>
      </c>
      <c r="Z171" s="83">
        <v>6420.7</v>
      </c>
    </row>
    <row r="172" spans="1:26" s="34" customFormat="1" ht="38.25">
      <c r="A172" s="102"/>
      <c r="B172" s="104"/>
      <c r="C172" s="65" t="s">
        <v>262</v>
      </c>
      <c r="D172" s="105"/>
      <c r="E172" s="106" t="s">
        <v>263</v>
      </c>
      <c r="F172" s="32"/>
      <c r="G172" s="32"/>
      <c r="H172" s="32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83">
        <v>2434.4</v>
      </c>
      <c r="V172" s="83">
        <v>2434.4</v>
      </c>
      <c r="W172" s="83">
        <v>6420.7</v>
      </c>
      <c r="X172" s="83">
        <v>6420.7</v>
      </c>
      <c r="Y172" s="83">
        <v>6420.7</v>
      </c>
      <c r="Z172" s="83">
        <v>6420.7</v>
      </c>
    </row>
    <row r="173" spans="1:26" s="34" customFormat="1" ht="38.25">
      <c r="A173" s="102"/>
      <c r="B173" s="104"/>
      <c r="C173" s="103"/>
      <c r="D173" s="97" t="s">
        <v>32</v>
      </c>
      <c r="E173" s="88" t="s">
        <v>33</v>
      </c>
      <c r="F173" s="32"/>
      <c r="G173" s="32"/>
      <c r="H173" s="32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36">
        <v>2434.4</v>
      </c>
      <c r="V173" s="83">
        <v>2434.4</v>
      </c>
      <c r="W173" s="36">
        <v>6420.7</v>
      </c>
      <c r="X173" s="83">
        <v>6420.7</v>
      </c>
      <c r="Y173" s="36">
        <v>6420.7</v>
      </c>
      <c r="Z173" s="36">
        <v>6420.7</v>
      </c>
    </row>
    <row r="174" spans="1:26" s="6" customFormat="1" ht="38.25">
      <c r="A174" s="67"/>
      <c r="B174" s="65"/>
      <c r="C174" s="65" t="s">
        <v>224</v>
      </c>
      <c r="D174" s="97"/>
      <c r="E174" s="88" t="s">
        <v>1</v>
      </c>
      <c r="F174" s="51">
        <f>F175</f>
        <v>6420.7</v>
      </c>
      <c r="G174" s="51">
        <f>G175</f>
        <v>6420.7</v>
      </c>
      <c r="H174" s="51">
        <f>H175</f>
        <v>6420.7</v>
      </c>
      <c r="I174" s="49"/>
      <c r="J174" s="49">
        <f>J175</f>
        <v>6420.7</v>
      </c>
      <c r="K174" s="49"/>
      <c r="L174" s="49">
        <f>L175</f>
        <v>6420.7</v>
      </c>
      <c r="M174" s="49"/>
      <c r="N174" s="49">
        <f>N175</f>
        <v>6420.7</v>
      </c>
      <c r="O174" s="49"/>
      <c r="P174" s="49">
        <f>P175</f>
        <v>6420.7</v>
      </c>
      <c r="Q174" s="49"/>
      <c r="R174" s="49">
        <f>R175</f>
        <v>6420.7</v>
      </c>
      <c r="S174" s="49"/>
      <c r="T174" s="49">
        <f>T175</f>
        <v>6420.7</v>
      </c>
      <c r="U174" s="83">
        <v>-2434.4</v>
      </c>
      <c r="V174" s="83">
        <v>3986.2999999999997</v>
      </c>
      <c r="W174" s="83">
        <v>-6420.7</v>
      </c>
      <c r="X174" s="83">
        <v>0</v>
      </c>
      <c r="Y174" s="83">
        <v>-6420.7</v>
      </c>
      <c r="Z174" s="83">
        <v>0</v>
      </c>
    </row>
    <row r="175" spans="1:26" s="6" customFormat="1" ht="38.25">
      <c r="A175" s="67"/>
      <c r="B175" s="65"/>
      <c r="C175" s="65"/>
      <c r="D175" s="97" t="s">
        <v>32</v>
      </c>
      <c r="E175" s="88" t="s">
        <v>33</v>
      </c>
      <c r="F175" s="51">
        <v>6420.7</v>
      </c>
      <c r="G175" s="51">
        <v>6420.7</v>
      </c>
      <c r="H175" s="51">
        <v>6420.7</v>
      </c>
      <c r="I175" s="49"/>
      <c r="J175" s="49">
        <f>F175+I175</f>
        <v>6420.7</v>
      </c>
      <c r="K175" s="49"/>
      <c r="L175" s="49">
        <f>G175+K175</f>
        <v>6420.7</v>
      </c>
      <c r="M175" s="49"/>
      <c r="N175" s="49">
        <f>H175+M175</f>
        <v>6420.7</v>
      </c>
      <c r="O175" s="49"/>
      <c r="P175" s="49">
        <f>J175+O175</f>
        <v>6420.7</v>
      </c>
      <c r="Q175" s="49"/>
      <c r="R175" s="49">
        <f>L175+Q175</f>
        <v>6420.7</v>
      </c>
      <c r="S175" s="49"/>
      <c r="T175" s="49">
        <f>N175+S175</f>
        <v>6420.7</v>
      </c>
      <c r="U175" s="83">
        <v>-2434.4</v>
      </c>
      <c r="V175" s="83">
        <v>3986.2999999999997</v>
      </c>
      <c r="W175" s="83">
        <v>-6420.7</v>
      </c>
      <c r="X175" s="83">
        <v>0</v>
      </c>
      <c r="Y175" s="83">
        <v>-6420.7</v>
      </c>
      <c r="Z175" s="36">
        <v>0</v>
      </c>
    </row>
    <row r="176" spans="1:26" s="1" customFormat="1" ht="15">
      <c r="A176" s="64" t="s">
        <v>56</v>
      </c>
      <c r="B176" s="72"/>
      <c r="C176" s="73"/>
      <c r="D176" s="72"/>
      <c r="E176" s="66" t="s">
        <v>57</v>
      </c>
      <c r="F176" s="52" t="e">
        <f aca="true" t="shared" si="50" ref="F176:T176">F177</f>
        <v>#REF!</v>
      </c>
      <c r="G176" s="52" t="e">
        <f t="shared" si="50"/>
        <v>#REF!</v>
      </c>
      <c r="H176" s="52" t="e">
        <f t="shared" si="50"/>
        <v>#REF!</v>
      </c>
      <c r="I176" s="52" t="e">
        <f t="shared" si="50"/>
        <v>#REF!</v>
      </c>
      <c r="J176" s="49" t="e">
        <f t="shared" si="50"/>
        <v>#REF!</v>
      </c>
      <c r="K176" s="52" t="e">
        <f t="shared" si="50"/>
        <v>#REF!</v>
      </c>
      <c r="L176" s="49" t="e">
        <f t="shared" si="50"/>
        <v>#REF!</v>
      </c>
      <c r="M176" s="52" t="e">
        <f t="shared" si="50"/>
        <v>#REF!</v>
      </c>
      <c r="N176" s="49" t="e">
        <f t="shared" si="50"/>
        <v>#REF!</v>
      </c>
      <c r="O176" s="52"/>
      <c r="P176" s="49" t="e">
        <f t="shared" si="50"/>
        <v>#REF!</v>
      </c>
      <c r="Q176" s="52"/>
      <c r="R176" s="49" t="e">
        <f t="shared" si="50"/>
        <v>#REF!</v>
      </c>
      <c r="S176" s="52"/>
      <c r="T176" s="49" t="e">
        <f t="shared" si="50"/>
        <v>#REF!</v>
      </c>
      <c r="U176" s="83">
        <v>-26.3</v>
      </c>
      <c r="V176" s="36">
        <v>14394.6</v>
      </c>
      <c r="W176" s="83">
        <v>-63.3</v>
      </c>
      <c r="X176" s="36">
        <v>14665.5</v>
      </c>
      <c r="Y176" s="83">
        <v>-63.3</v>
      </c>
      <c r="Z176" s="36">
        <v>14665.5</v>
      </c>
    </row>
    <row r="177" spans="1:26" s="1" customFormat="1" ht="15">
      <c r="A177" s="67"/>
      <c r="B177" s="74" t="s">
        <v>61</v>
      </c>
      <c r="C177" s="75"/>
      <c r="D177" s="75"/>
      <c r="E177" s="76" t="s">
        <v>62</v>
      </c>
      <c r="F177" s="31" t="e">
        <f>F178+#REF!</f>
        <v>#REF!</v>
      </c>
      <c r="G177" s="31" t="e">
        <f>G178+#REF!</f>
        <v>#REF!</v>
      </c>
      <c r="H177" s="31" t="e">
        <f>H178+#REF!</f>
        <v>#REF!</v>
      </c>
      <c r="I177" s="52" t="e">
        <f>I178+#REF!</f>
        <v>#REF!</v>
      </c>
      <c r="J177" s="49" t="e">
        <f>J178+#REF!</f>
        <v>#REF!</v>
      </c>
      <c r="K177" s="52" t="e">
        <f>K178+#REF!</f>
        <v>#REF!</v>
      </c>
      <c r="L177" s="49" t="e">
        <f>L178+#REF!</f>
        <v>#REF!</v>
      </c>
      <c r="M177" s="52" t="e">
        <f>M178+#REF!</f>
        <v>#REF!</v>
      </c>
      <c r="N177" s="49" t="e">
        <f>N178+#REF!</f>
        <v>#REF!</v>
      </c>
      <c r="O177" s="52"/>
      <c r="P177" s="49" t="e">
        <f>P178+#REF!</f>
        <v>#REF!</v>
      </c>
      <c r="Q177" s="52"/>
      <c r="R177" s="49" t="e">
        <f>R178+#REF!</f>
        <v>#REF!</v>
      </c>
      <c r="S177" s="52"/>
      <c r="T177" s="49" t="e">
        <f>T178+#REF!</f>
        <v>#REF!</v>
      </c>
      <c r="U177" s="83">
        <v>-26.3</v>
      </c>
      <c r="V177" s="36">
        <v>14394.6</v>
      </c>
      <c r="W177" s="83">
        <v>-63.3</v>
      </c>
      <c r="X177" s="36">
        <v>14665.5</v>
      </c>
      <c r="Y177" s="83">
        <v>-63.3</v>
      </c>
      <c r="Z177" s="36">
        <v>14665.5</v>
      </c>
    </row>
    <row r="178" spans="1:26" s="5" customFormat="1" ht="51">
      <c r="A178" s="67"/>
      <c r="B178" s="125" t="s">
        <v>63</v>
      </c>
      <c r="C178" s="65"/>
      <c r="D178" s="98"/>
      <c r="E178" s="126" t="s">
        <v>41</v>
      </c>
      <c r="F178" s="51" t="e">
        <f aca="true" t="shared" si="51" ref="F178:T178">F179</f>
        <v>#REF!</v>
      </c>
      <c r="G178" s="51" t="e">
        <f t="shared" si="51"/>
        <v>#REF!</v>
      </c>
      <c r="H178" s="51" t="e">
        <f t="shared" si="51"/>
        <v>#REF!</v>
      </c>
      <c r="I178" s="52" t="e">
        <f t="shared" si="51"/>
        <v>#REF!</v>
      </c>
      <c r="J178" s="49" t="e">
        <f t="shared" si="51"/>
        <v>#REF!</v>
      </c>
      <c r="K178" s="52" t="e">
        <f t="shared" si="51"/>
        <v>#REF!</v>
      </c>
      <c r="L178" s="49" t="e">
        <f t="shared" si="51"/>
        <v>#REF!</v>
      </c>
      <c r="M178" s="52" t="e">
        <f t="shared" si="51"/>
        <v>#REF!</v>
      </c>
      <c r="N178" s="49" t="e">
        <f t="shared" si="51"/>
        <v>#REF!</v>
      </c>
      <c r="O178" s="52"/>
      <c r="P178" s="49" t="e">
        <f t="shared" si="51"/>
        <v>#REF!</v>
      </c>
      <c r="Q178" s="52"/>
      <c r="R178" s="49" t="e">
        <f t="shared" si="51"/>
        <v>#REF!</v>
      </c>
      <c r="S178" s="52"/>
      <c r="T178" s="49" t="e">
        <f t="shared" si="51"/>
        <v>#REF!</v>
      </c>
      <c r="U178" s="83">
        <v>-26.3</v>
      </c>
      <c r="V178" s="36">
        <v>14239.4</v>
      </c>
      <c r="W178" s="83">
        <v>-63.3</v>
      </c>
      <c r="X178" s="36">
        <v>14510.3</v>
      </c>
      <c r="Y178" s="83">
        <v>-63.3</v>
      </c>
      <c r="Z178" s="36">
        <v>14510.3</v>
      </c>
    </row>
    <row r="179" spans="1:26" s="1" customFormat="1" ht="25.5">
      <c r="A179" s="67"/>
      <c r="B179" s="70"/>
      <c r="C179" s="65" t="s">
        <v>118</v>
      </c>
      <c r="D179" s="65"/>
      <c r="E179" s="77" t="s">
        <v>119</v>
      </c>
      <c r="F179" s="51" t="e">
        <f>F180+#REF!+#REF!</f>
        <v>#REF!</v>
      </c>
      <c r="G179" s="51" t="e">
        <f>G180+#REF!+#REF!</f>
        <v>#REF!</v>
      </c>
      <c r="H179" s="51" t="e">
        <f>H180+#REF!+#REF!</f>
        <v>#REF!</v>
      </c>
      <c r="I179" s="52" t="e">
        <f>I180+#REF!+#REF!</f>
        <v>#REF!</v>
      </c>
      <c r="J179" s="49" t="e">
        <f>J180+#REF!+#REF!</f>
        <v>#REF!</v>
      </c>
      <c r="K179" s="52" t="e">
        <f>K180+#REF!+#REF!</f>
        <v>#REF!</v>
      </c>
      <c r="L179" s="49" t="e">
        <f>L180+#REF!+#REF!</f>
        <v>#REF!</v>
      </c>
      <c r="M179" s="52" t="e">
        <f>M180+#REF!+#REF!</f>
        <v>#REF!</v>
      </c>
      <c r="N179" s="49" t="e">
        <f>N180+#REF!+#REF!</f>
        <v>#REF!</v>
      </c>
      <c r="O179" s="52"/>
      <c r="P179" s="49" t="e">
        <f>P180+#REF!+#REF!</f>
        <v>#REF!</v>
      </c>
      <c r="Q179" s="52"/>
      <c r="R179" s="49" t="e">
        <f>R180+#REF!+#REF!</f>
        <v>#REF!</v>
      </c>
      <c r="S179" s="52"/>
      <c r="T179" s="49" t="e">
        <f>T180+#REF!+#REF!</f>
        <v>#REF!</v>
      </c>
      <c r="U179" s="83">
        <v>-26.3</v>
      </c>
      <c r="V179" s="36">
        <v>14239.4</v>
      </c>
      <c r="W179" s="83">
        <v>-63.3</v>
      </c>
      <c r="X179" s="36">
        <v>14510.3</v>
      </c>
      <c r="Y179" s="83">
        <v>-63.3</v>
      </c>
      <c r="Z179" s="36">
        <v>14510.3</v>
      </c>
    </row>
    <row r="180" spans="1:26" s="1" customFormat="1" ht="25.5">
      <c r="A180" s="67"/>
      <c r="B180" s="70"/>
      <c r="C180" s="65" t="s">
        <v>104</v>
      </c>
      <c r="D180" s="70"/>
      <c r="E180" s="127" t="s">
        <v>185</v>
      </c>
      <c r="F180" s="31">
        <f aca="true" t="shared" si="52" ref="F180:N180">SUM(F181:F181)</f>
        <v>6631.7</v>
      </c>
      <c r="G180" s="31">
        <f t="shared" si="52"/>
        <v>6631.7</v>
      </c>
      <c r="H180" s="31">
        <f t="shared" si="52"/>
        <v>6631.7</v>
      </c>
      <c r="I180" s="49">
        <f t="shared" si="52"/>
        <v>977.6</v>
      </c>
      <c r="J180" s="49">
        <f t="shared" si="52"/>
        <v>7609.3</v>
      </c>
      <c r="K180" s="49">
        <f t="shared" si="52"/>
        <v>1303.5</v>
      </c>
      <c r="L180" s="49">
        <f t="shared" si="52"/>
        <v>7935.2</v>
      </c>
      <c r="M180" s="49">
        <f t="shared" si="52"/>
        <v>1303.5</v>
      </c>
      <c r="N180" s="49">
        <f t="shared" si="52"/>
        <v>7935.2</v>
      </c>
      <c r="O180" s="49"/>
      <c r="P180" s="49">
        <f>SUM(P181:P181)</f>
        <v>7609.3</v>
      </c>
      <c r="Q180" s="49"/>
      <c r="R180" s="49">
        <f>SUM(R181:R181)</f>
        <v>7935.2</v>
      </c>
      <c r="S180" s="49"/>
      <c r="T180" s="49">
        <f>SUM(T181:T181)</f>
        <v>7935.2</v>
      </c>
      <c r="U180" s="83">
        <v>-26.3</v>
      </c>
      <c r="V180" s="36">
        <v>8426.9</v>
      </c>
      <c r="W180" s="83">
        <v>-63.3</v>
      </c>
      <c r="X180" s="36">
        <v>8697.8</v>
      </c>
      <c r="Y180" s="83">
        <v>-63.3</v>
      </c>
      <c r="Z180" s="36">
        <v>8697.8</v>
      </c>
    </row>
    <row r="181" spans="1:26" s="1" customFormat="1" ht="78" customHeight="1">
      <c r="A181" s="67"/>
      <c r="B181" s="70"/>
      <c r="C181" s="65"/>
      <c r="D181" s="97" t="s">
        <v>26</v>
      </c>
      <c r="E181" s="81" t="s">
        <v>169</v>
      </c>
      <c r="F181" s="51">
        <v>6631.7</v>
      </c>
      <c r="G181" s="51">
        <v>6631.7</v>
      </c>
      <c r="H181" s="51">
        <v>6631.7</v>
      </c>
      <c r="I181" s="49">
        <v>977.6</v>
      </c>
      <c r="J181" s="49">
        <f>F181+I181</f>
        <v>7609.3</v>
      </c>
      <c r="K181" s="49">
        <v>1303.5</v>
      </c>
      <c r="L181" s="49">
        <f>G181+K181</f>
        <v>7935.2</v>
      </c>
      <c r="M181" s="49">
        <v>1303.5</v>
      </c>
      <c r="N181" s="49">
        <f>H181+M181</f>
        <v>7935.2</v>
      </c>
      <c r="O181" s="49"/>
      <c r="P181" s="49">
        <f>J181+O181</f>
        <v>7609.3</v>
      </c>
      <c r="Q181" s="49"/>
      <c r="R181" s="49">
        <f>L181+Q181</f>
        <v>7935.2</v>
      </c>
      <c r="S181" s="49"/>
      <c r="T181" s="49">
        <f>N181+S181</f>
        <v>7935.2</v>
      </c>
      <c r="U181" s="83">
        <v>-26.3</v>
      </c>
      <c r="V181" s="36">
        <v>7583</v>
      </c>
      <c r="W181" s="83">
        <v>-63.3</v>
      </c>
      <c r="X181" s="36">
        <v>7871.9</v>
      </c>
      <c r="Y181" s="83">
        <v>-63.3</v>
      </c>
      <c r="Z181" s="36">
        <v>7871.9</v>
      </c>
    </row>
    <row r="182" spans="1:26" s="1" customFormat="1" ht="30">
      <c r="A182" s="64" t="s">
        <v>152</v>
      </c>
      <c r="B182" s="65"/>
      <c r="C182" s="65"/>
      <c r="D182" s="65"/>
      <c r="E182" s="66" t="s">
        <v>153</v>
      </c>
      <c r="F182" s="52" t="e">
        <f>F188+F195+#REF!+#REF!</f>
        <v>#REF!</v>
      </c>
      <c r="G182" s="52" t="e">
        <f>G188+G195+#REF!+#REF!</f>
        <v>#REF!</v>
      </c>
      <c r="H182" s="52" t="e">
        <f>H188+H195+#REF!+#REF!</f>
        <v>#REF!</v>
      </c>
      <c r="I182" s="49" t="e">
        <f>I188+I195+#REF!+#REF!+I183</f>
        <v>#REF!</v>
      </c>
      <c r="J182" s="49" t="e">
        <f>J188+J195+#REF!+#REF!+J183</f>
        <v>#REF!</v>
      </c>
      <c r="K182" s="52" t="e">
        <f>K188+K195+#REF!+#REF!+K183</f>
        <v>#REF!</v>
      </c>
      <c r="L182" s="49" t="e">
        <f>L188+L195+#REF!+#REF!+L183</f>
        <v>#REF!</v>
      </c>
      <c r="M182" s="52" t="e">
        <f>M188+M195+#REF!+#REF!+M183</f>
        <v>#REF!</v>
      </c>
      <c r="N182" s="49" t="e">
        <f>N188+N195+#REF!+#REF!+N183</f>
        <v>#REF!</v>
      </c>
      <c r="O182" s="49" t="e">
        <f>O188+O195+#REF!+#REF!+O183</f>
        <v>#REF!</v>
      </c>
      <c r="P182" s="49" t="e">
        <f>P188+P195+#REF!+#REF!+P183</f>
        <v>#REF!</v>
      </c>
      <c r="Q182" s="49" t="e">
        <f>Q188+Q195+#REF!+#REF!+Q183</f>
        <v>#REF!</v>
      </c>
      <c r="R182" s="49" t="e">
        <f>R188+R195+#REF!+#REF!+R183</f>
        <v>#REF!</v>
      </c>
      <c r="S182" s="49" t="e">
        <f>S188+S195+#REF!+#REF!+S183</f>
        <v>#REF!</v>
      </c>
      <c r="T182" s="49" t="e">
        <f>T188+T195+#REF!+#REF!+T183</f>
        <v>#REF!</v>
      </c>
      <c r="U182" s="36">
        <v>27812.699999999997</v>
      </c>
      <c r="V182" s="36">
        <v>875076.9</v>
      </c>
      <c r="W182" s="36">
        <v>2908.9</v>
      </c>
      <c r="X182" s="36">
        <v>606498.2</v>
      </c>
      <c r="Y182" s="83">
        <v>-23129.1</v>
      </c>
      <c r="Z182" s="36">
        <v>577172.9</v>
      </c>
    </row>
    <row r="183" spans="1:26" s="24" customFormat="1" ht="15">
      <c r="A183" s="64"/>
      <c r="B183" s="65" t="s">
        <v>61</v>
      </c>
      <c r="C183" s="65"/>
      <c r="D183" s="65"/>
      <c r="E183" s="66" t="s">
        <v>62</v>
      </c>
      <c r="F183" s="52" t="e">
        <f aca="true" t="shared" si="53" ref="F183:T183">F184</f>
        <v>#REF!</v>
      </c>
      <c r="G183" s="52" t="e">
        <f t="shared" si="53"/>
        <v>#REF!</v>
      </c>
      <c r="H183" s="52" t="e">
        <f t="shared" si="53"/>
        <v>#REF!</v>
      </c>
      <c r="I183" s="49"/>
      <c r="J183" s="49" t="e">
        <f t="shared" si="53"/>
        <v>#REF!</v>
      </c>
      <c r="K183" s="49"/>
      <c r="L183" s="49" t="e">
        <f t="shared" si="53"/>
        <v>#REF!</v>
      </c>
      <c r="M183" s="49"/>
      <c r="N183" s="49" t="e">
        <f t="shared" si="53"/>
        <v>#REF!</v>
      </c>
      <c r="O183" s="49"/>
      <c r="P183" s="49" t="e">
        <f t="shared" si="53"/>
        <v>#REF!</v>
      </c>
      <c r="Q183" s="49"/>
      <c r="R183" s="49" t="e">
        <f t="shared" si="53"/>
        <v>#REF!</v>
      </c>
      <c r="S183" s="49"/>
      <c r="T183" s="49" t="e">
        <f t="shared" si="53"/>
        <v>#REF!</v>
      </c>
      <c r="U183" s="36">
        <v>599.6</v>
      </c>
      <c r="V183" s="36">
        <v>599.6</v>
      </c>
      <c r="W183" s="36">
        <v>0</v>
      </c>
      <c r="X183" s="36">
        <v>0</v>
      </c>
      <c r="Y183" s="36">
        <v>0</v>
      </c>
      <c r="Z183" s="36">
        <v>0</v>
      </c>
    </row>
    <row r="184" spans="1:26" s="24" customFormat="1" ht="15">
      <c r="A184" s="64"/>
      <c r="B184" s="65" t="s">
        <v>46</v>
      </c>
      <c r="C184" s="65"/>
      <c r="D184" s="65"/>
      <c r="E184" s="66" t="s">
        <v>66</v>
      </c>
      <c r="F184" s="52" t="e">
        <f>#REF!</f>
        <v>#REF!</v>
      </c>
      <c r="G184" s="52" t="e">
        <f>#REF!</f>
        <v>#REF!</v>
      </c>
      <c r="H184" s="52" t="e">
        <f>#REF!</f>
        <v>#REF!</v>
      </c>
      <c r="I184" s="49"/>
      <c r="J184" s="49" t="e">
        <f>#REF!</f>
        <v>#REF!</v>
      </c>
      <c r="K184" s="49"/>
      <c r="L184" s="49" t="e">
        <f>#REF!</f>
        <v>#REF!</v>
      </c>
      <c r="M184" s="49"/>
      <c r="N184" s="49" t="e">
        <f>#REF!</f>
        <v>#REF!</v>
      </c>
      <c r="O184" s="49"/>
      <c r="P184" s="49" t="e">
        <f>#REF!</f>
        <v>#REF!</v>
      </c>
      <c r="Q184" s="49"/>
      <c r="R184" s="49" t="e">
        <f>#REF!</f>
        <v>#REF!</v>
      </c>
      <c r="S184" s="49"/>
      <c r="T184" s="49" t="e">
        <f>#REF!</f>
        <v>#REF!</v>
      </c>
      <c r="U184" s="36">
        <v>599.6</v>
      </c>
      <c r="V184" s="36">
        <v>599.6</v>
      </c>
      <c r="W184" s="36">
        <v>0</v>
      </c>
      <c r="X184" s="36">
        <v>0</v>
      </c>
      <c r="Y184" s="36">
        <v>0</v>
      </c>
      <c r="Z184" s="36">
        <v>0</v>
      </c>
    </row>
    <row r="185" spans="1:26" s="24" customFormat="1" ht="25.5">
      <c r="A185" s="64"/>
      <c r="B185" s="65"/>
      <c r="C185" s="65" t="s">
        <v>118</v>
      </c>
      <c r="D185" s="65"/>
      <c r="E185" s="77" t="s">
        <v>119</v>
      </c>
      <c r="F185" s="52"/>
      <c r="G185" s="52"/>
      <c r="H185" s="52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36">
        <v>599.6</v>
      </c>
      <c r="V185" s="36">
        <v>599.6</v>
      </c>
      <c r="W185" s="36">
        <v>0</v>
      </c>
      <c r="X185" s="36">
        <v>0</v>
      </c>
      <c r="Y185" s="36">
        <v>0</v>
      </c>
      <c r="Z185" s="36">
        <v>0</v>
      </c>
    </row>
    <row r="186" spans="1:26" s="24" customFormat="1" ht="39" customHeight="1">
      <c r="A186" s="64"/>
      <c r="B186" s="65"/>
      <c r="C186" s="7" t="s">
        <v>270</v>
      </c>
      <c r="D186" s="65"/>
      <c r="E186" s="66" t="s">
        <v>271</v>
      </c>
      <c r="F186" s="52"/>
      <c r="G186" s="52"/>
      <c r="H186" s="52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36">
        <v>599.6</v>
      </c>
      <c r="V186" s="36">
        <v>599.6</v>
      </c>
      <c r="W186" s="36">
        <v>0</v>
      </c>
      <c r="X186" s="36">
        <v>0</v>
      </c>
      <c r="Y186" s="36">
        <v>0</v>
      </c>
      <c r="Z186" s="36">
        <v>0</v>
      </c>
    </row>
    <row r="187" spans="1:26" s="24" customFormat="1" ht="15">
      <c r="A187" s="64"/>
      <c r="B187" s="65"/>
      <c r="C187" s="65"/>
      <c r="D187" s="65" t="s">
        <v>28</v>
      </c>
      <c r="E187" s="66" t="s">
        <v>29</v>
      </c>
      <c r="F187" s="52"/>
      <c r="G187" s="52"/>
      <c r="H187" s="52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36">
        <v>599.6</v>
      </c>
      <c r="V187" s="36">
        <v>599.6</v>
      </c>
      <c r="W187" s="36">
        <v>0</v>
      </c>
      <c r="X187" s="36">
        <v>0</v>
      </c>
      <c r="Y187" s="36">
        <v>0</v>
      </c>
      <c r="Z187" s="36">
        <v>0</v>
      </c>
    </row>
    <row r="188" spans="1:26" s="1" customFormat="1" ht="15">
      <c r="A188" s="64"/>
      <c r="B188" s="116" t="s">
        <v>69</v>
      </c>
      <c r="C188" s="116"/>
      <c r="D188" s="116"/>
      <c r="E188" s="76" t="s">
        <v>70</v>
      </c>
      <c r="F188" s="31" t="e">
        <f>F189+#REF!+#REF!</f>
        <v>#REF!</v>
      </c>
      <c r="G188" s="31" t="e">
        <f>G189+#REF!+#REF!</f>
        <v>#REF!</v>
      </c>
      <c r="H188" s="31" t="e">
        <f>H189+#REF!+#REF!</f>
        <v>#REF!</v>
      </c>
      <c r="I188" s="49" t="e">
        <f>I189+#REF!+#REF!</f>
        <v>#REF!</v>
      </c>
      <c r="J188" s="49" t="e">
        <f>J189+#REF!+#REF!</f>
        <v>#REF!</v>
      </c>
      <c r="K188" s="49" t="e">
        <f>K189+#REF!+#REF!</f>
        <v>#REF!</v>
      </c>
      <c r="L188" s="49" t="e">
        <f>L189+#REF!+#REF!</f>
        <v>#REF!</v>
      </c>
      <c r="M188" s="49" t="e">
        <f>M189+#REF!+#REF!</f>
        <v>#REF!</v>
      </c>
      <c r="N188" s="49" t="e">
        <f>N189+#REF!+#REF!</f>
        <v>#REF!</v>
      </c>
      <c r="O188" s="49" t="e">
        <f>O189+#REF!+#REF!</f>
        <v>#REF!</v>
      </c>
      <c r="P188" s="49" t="e">
        <f>P189+#REF!+#REF!</f>
        <v>#REF!</v>
      </c>
      <c r="Q188" s="49" t="e">
        <f>Q189+#REF!+#REF!</f>
        <v>#REF!</v>
      </c>
      <c r="R188" s="49" t="e">
        <f>R189+#REF!+#REF!</f>
        <v>#REF!</v>
      </c>
      <c r="S188" s="49" t="e">
        <f>S189+#REF!+#REF!</f>
        <v>#REF!</v>
      </c>
      <c r="T188" s="49" t="e">
        <f>T189+#REF!+#REF!</f>
        <v>#REF!</v>
      </c>
      <c r="U188" s="36">
        <v>24198.6</v>
      </c>
      <c r="V188" s="36">
        <v>675570.6</v>
      </c>
      <c r="W188" s="36">
        <v>0</v>
      </c>
      <c r="X188" s="36">
        <v>502962.8</v>
      </c>
      <c r="Y188" s="36">
        <v>0</v>
      </c>
      <c r="Z188" s="36">
        <v>503002</v>
      </c>
    </row>
    <row r="189" spans="1:26" s="1" customFormat="1" ht="15">
      <c r="A189" s="64"/>
      <c r="B189" s="74" t="s">
        <v>154</v>
      </c>
      <c r="C189" s="74"/>
      <c r="D189" s="74"/>
      <c r="E189" s="77" t="s">
        <v>155</v>
      </c>
      <c r="F189" s="31" t="e">
        <f>F190+#REF!</f>
        <v>#REF!</v>
      </c>
      <c r="G189" s="31" t="e">
        <f>G190+#REF!</f>
        <v>#REF!</v>
      </c>
      <c r="H189" s="31" t="e">
        <f>H190+#REF!</f>
        <v>#REF!</v>
      </c>
      <c r="I189" s="49" t="e">
        <f>I190+#REF!</f>
        <v>#REF!</v>
      </c>
      <c r="J189" s="49" t="e">
        <f>J190+#REF!</f>
        <v>#REF!</v>
      </c>
      <c r="K189" s="49" t="e">
        <f>K190+#REF!</f>
        <v>#REF!</v>
      </c>
      <c r="L189" s="49" t="e">
        <f>L190+#REF!</f>
        <v>#REF!</v>
      </c>
      <c r="M189" s="49" t="e">
        <f>M190+#REF!</f>
        <v>#REF!</v>
      </c>
      <c r="N189" s="49" t="e">
        <f>N190+#REF!</f>
        <v>#REF!</v>
      </c>
      <c r="O189" s="49" t="e">
        <f>O190+#REF!</f>
        <v>#REF!</v>
      </c>
      <c r="P189" s="49" t="e">
        <f>P190+#REF!</f>
        <v>#REF!</v>
      </c>
      <c r="Q189" s="49" t="e">
        <f>Q190+#REF!</f>
        <v>#REF!</v>
      </c>
      <c r="R189" s="49" t="e">
        <f>R190+#REF!</f>
        <v>#REF!</v>
      </c>
      <c r="S189" s="49" t="e">
        <f>S190+#REF!</f>
        <v>#REF!</v>
      </c>
      <c r="T189" s="49" t="e">
        <f>T190+#REF!</f>
        <v>#REF!</v>
      </c>
      <c r="U189" s="36">
        <v>24198.6</v>
      </c>
      <c r="V189" s="36">
        <v>667370.3</v>
      </c>
      <c r="W189" s="36">
        <v>0</v>
      </c>
      <c r="X189" s="36">
        <v>494804.8</v>
      </c>
      <c r="Y189" s="36">
        <v>0</v>
      </c>
      <c r="Z189" s="36">
        <v>494844</v>
      </c>
    </row>
    <row r="190" spans="1:26" s="1" customFormat="1" ht="25.5">
      <c r="A190" s="64"/>
      <c r="B190" s="115"/>
      <c r="C190" s="65" t="s">
        <v>132</v>
      </c>
      <c r="D190" s="80"/>
      <c r="E190" s="109" t="s">
        <v>200</v>
      </c>
      <c r="F190" s="51" t="e">
        <f aca="true" t="shared" si="54" ref="F190:T190">F191</f>
        <v>#REF!</v>
      </c>
      <c r="G190" s="51" t="e">
        <f t="shared" si="54"/>
        <v>#REF!</v>
      </c>
      <c r="H190" s="51" t="e">
        <f t="shared" si="54"/>
        <v>#REF!</v>
      </c>
      <c r="I190" s="49" t="e">
        <f t="shared" si="54"/>
        <v>#REF!</v>
      </c>
      <c r="J190" s="49" t="e">
        <f t="shared" si="54"/>
        <v>#REF!</v>
      </c>
      <c r="K190" s="49" t="e">
        <f t="shared" si="54"/>
        <v>#REF!</v>
      </c>
      <c r="L190" s="49" t="e">
        <f t="shared" si="54"/>
        <v>#REF!</v>
      </c>
      <c r="M190" s="49" t="e">
        <f t="shared" si="54"/>
        <v>#REF!</v>
      </c>
      <c r="N190" s="49" t="e">
        <f t="shared" si="54"/>
        <v>#REF!</v>
      </c>
      <c r="O190" s="49" t="e">
        <f t="shared" si="54"/>
        <v>#REF!</v>
      </c>
      <c r="P190" s="49" t="e">
        <f t="shared" si="54"/>
        <v>#REF!</v>
      </c>
      <c r="Q190" s="49" t="e">
        <f t="shared" si="54"/>
        <v>#REF!</v>
      </c>
      <c r="R190" s="49" t="e">
        <f t="shared" si="54"/>
        <v>#REF!</v>
      </c>
      <c r="S190" s="49" t="e">
        <f t="shared" si="54"/>
        <v>#REF!</v>
      </c>
      <c r="T190" s="49" t="e">
        <f t="shared" si="54"/>
        <v>#REF!</v>
      </c>
      <c r="U190" s="36">
        <v>24198.6</v>
      </c>
      <c r="V190" s="36">
        <v>604268.7000000001</v>
      </c>
      <c r="W190" s="36">
        <v>0</v>
      </c>
      <c r="X190" s="36">
        <v>428984</v>
      </c>
      <c r="Y190" s="36">
        <v>0</v>
      </c>
      <c r="Z190" s="36">
        <v>429023.2</v>
      </c>
    </row>
    <row r="191" spans="1:26" s="1" customFormat="1" ht="25.5">
      <c r="A191" s="64"/>
      <c r="B191" s="74"/>
      <c r="C191" s="74" t="s">
        <v>138</v>
      </c>
      <c r="D191" s="74"/>
      <c r="E191" s="77" t="s">
        <v>156</v>
      </c>
      <c r="F191" s="31" t="e">
        <f>F192+#REF!</f>
        <v>#REF!</v>
      </c>
      <c r="G191" s="31" t="e">
        <f>G192+#REF!</f>
        <v>#REF!</v>
      </c>
      <c r="H191" s="31" t="e">
        <f>H192+#REF!</f>
        <v>#REF!</v>
      </c>
      <c r="I191" s="49" t="e">
        <f>I192+#REF!</f>
        <v>#REF!</v>
      </c>
      <c r="J191" s="49" t="e">
        <f>J192+#REF!</f>
        <v>#REF!</v>
      </c>
      <c r="K191" s="49" t="e">
        <f>K192+#REF!</f>
        <v>#REF!</v>
      </c>
      <c r="L191" s="49" t="e">
        <f>L192+#REF!</f>
        <v>#REF!</v>
      </c>
      <c r="M191" s="49" t="e">
        <f>M192+#REF!</f>
        <v>#REF!</v>
      </c>
      <c r="N191" s="49" t="e">
        <f>N192+#REF!</f>
        <v>#REF!</v>
      </c>
      <c r="O191" s="49" t="e">
        <f>O192+#REF!</f>
        <v>#REF!</v>
      </c>
      <c r="P191" s="49" t="e">
        <f>P192+#REF!</f>
        <v>#REF!</v>
      </c>
      <c r="Q191" s="49" t="e">
        <f>Q192+#REF!</f>
        <v>#REF!</v>
      </c>
      <c r="R191" s="49" t="e">
        <f>R192+#REF!</f>
        <v>#REF!</v>
      </c>
      <c r="S191" s="49" t="e">
        <f>S192+#REF!</f>
        <v>#REF!</v>
      </c>
      <c r="T191" s="49" t="e">
        <f>T192+#REF!</f>
        <v>#REF!</v>
      </c>
      <c r="U191" s="36">
        <v>24198.6</v>
      </c>
      <c r="V191" s="36">
        <v>604268.7000000001</v>
      </c>
      <c r="W191" s="36">
        <v>0</v>
      </c>
      <c r="X191" s="36">
        <v>428984</v>
      </c>
      <c r="Y191" s="36">
        <v>0</v>
      </c>
      <c r="Z191" s="36">
        <v>429023.2</v>
      </c>
    </row>
    <row r="192" spans="1:26" s="1" customFormat="1" ht="25.5">
      <c r="A192" s="64"/>
      <c r="B192" s="74"/>
      <c r="C192" s="74" t="s">
        <v>139</v>
      </c>
      <c r="D192" s="74"/>
      <c r="E192" s="108" t="s">
        <v>140</v>
      </c>
      <c r="F192" s="31" t="e">
        <f>F193+#REF!+#REF!+#REF!+#REF!+#REF!</f>
        <v>#REF!</v>
      </c>
      <c r="G192" s="31" t="e">
        <f>G193+#REF!+#REF!+#REF!+#REF!+#REF!</f>
        <v>#REF!</v>
      </c>
      <c r="H192" s="31" t="e">
        <f>H193+#REF!+#REF!+#REF!+#REF!+#REF!</f>
        <v>#REF!</v>
      </c>
      <c r="I192" s="52" t="e">
        <f>I193+#REF!+#REF!+#REF!+#REF!+#REF!</f>
        <v>#REF!</v>
      </c>
      <c r="J192" s="49" t="e">
        <f>J193+#REF!+#REF!+#REF!+#REF!+#REF!</f>
        <v>#REF!</v>
      </c>
      <c r="K192" s="49" t="e">
        <f>K193+#REF!+#REF!+#REF!+#REF!+#REF!</f>
        <v>#REF!</v>
      </c>
      <c r="L192" s="49" t="e">
        <f>L193+#REF!+#REF!+#REF!+#REF!+#REF!</f>
        <v>#REF!</v>
      </c>
      <c r="M192" s="49" t="e">
        <f>M193+#REF!+#REF!+#REF!+#REF!+#REF!</f>
        <v>#REF!</v>
      </c>
      <c r="N192" s="49" t="e">
        <f>N193+#REF!+#REF!+#REF!+#REF!+#REF!</f>
        <v>#REF!</v>
      </c>
      <c r="O192" s="49" t="e">
        <f>O193+#REF!+#REF!+#REF!+#REF!+#REF!</f>
        <v>#REF!</v>
      </c>
      <c r="P192" s="49" t="e">
        <f>P193+#REF!+#REF!+#REF!+#REF!+#REF!</f>
        <v>#REF!</v>
      </c>
      <c r="Q192" s="49" t="e">
        <f>Q193+#REF!+#REF!+#REF!+#REF!+#REF!</f>
        <v>#REF!</v>
      </c>
      <c r="R192" s="49" t="e">
        <f>R193+#REF!+#REF!+#REF!+#REF!+#REF!</f>
        <v>#REF!</v>
      </c>
      <c r="S192" s="49" t="e">
        <f>S193+#REF!+#REF!+#REF!+#REF!+#REF!</f>
        <v>#REF!</v>
      </c>
      <c r="T192" s="49" t="e">
        <f>T193+#REF!+#REF!+#REF!+#REF!+#REF!</f>
        <v>#REF!</v>
      </c>
      <c r="U192" s="36">
        <v>24198.6</v>
      </c>
      <c r="V192" s="36">
        <v>591620.6000000001</v>
      </c>
      <c r="W192" s="36">
        <v>0</v>
      </c>
      <c r="X192" s="36">
        <v>428984</v>
      </c>
      <c r="Y192" s="36">
        <v>0</v>
      </c>
      <c r="Z192" s="36">
        <v>429023.2</v>
      </c>
    </row>
    <row r="193" spans="1:26" s="1" customFormat="1" ht="38.25">
      <c r="A193" s="64"/>
      <c r="B193" s="74"/>
      <c r="C193" s="65" t="s">
        <v>96</v>
      </c>
      <c r="D193" s="65"/>
      <c r="E193" s="69" t="s">
        <v>1</v>
      </c>
      <c r="F193" s="31">
        <f aca="true" t="shared" si="55" ref="F193:T193">F194</f>
        <v>286379.4</v>
      </c>
      <c r="G193" s="31">
        <f t="shared" si="55"/>
        <v>286379.4</v>
      </c>
      <c r="H193" s="31">
        <f t="shared" si="55"/>
        <v>286379.4</v>
      </c>
      <c r="I193" s="52">
        <f t="shared" si="55"/>
        <v>-49169.3</v>
      </c>
      <c r="J193" s="49">
        <f t="shared" si="55"/>
        <v>237210.10000000003</v>
      </c>
      <c r="K193" s="49">
        <f t="shared" si="55"/>
        <v>0</v>
      </c>
      <c r="L193" s="49">
        <f t="shared" si="55"/>
        <v>286379.4</v>
      </c>
      <c r="M193" s="49">
        <f t="shared" si="55"/>
        <v>0</v>
      </c>
      <c r="N193" s="49">
        <f t="shared" si="55"/>
        <v>286379.4</v>
      </c>
      <c r="O193" s="49">
        <f t="shared" si="55"/>
        <v>24970.7</v>
      </c>
      <c r="P193" s="49">
        <f t="shared" si="55"/>
        <v>262180.80000000005</v>
      </c>
      <c r="Q193" s="49">
        <f t="shared" si="55"/>
        <v>0</v>
      </c>
      <c r="R193" s="49">
        <f t="shared" si="55"/>
        <v>286379.4</v>
      </c>
      <c r="S193" s="49">
        <f t="shared" si="55"/>
        <v>0</v>
      </c>
      <c r="T193" s="49">
        <f t="shared" si="55"/>
        <v>286379.4</v>
      </c>
      <c r="U193" s="36">
        <v>24198.6</v>
      </c>
      <c r="V193" s="36">
        <v>286379.4</v>
      </c>
      <c r="W193" s="36">
        <v>0</v>
      </c>
      <c r="X193" s="36">
        <v>286379.4</v>
      </c>
      <c r="Y193" s="36">
        <v>0</v>
      </c>
      <c r="Z193" s="36">
        <v>286379.4</v>
      </c>
    </row>
    <row r="194" spans="1:26" s="5" customFormat="1" ht="49.5" customHeight="1">
      <c r="A194" s="64"/>
      <c r="B194" s="74"/>
      <c r="C194" s="65"/>
      <c r="D194" s="74" t="s">
        <v>32</v>
      </c>
      <c r="E194" s="77" t="s">
        <v>33</v>
      </c>
      <c r="F194" s="31">
        <v>286379.4</v>
      </c>
      <c r="G194" s="31">
        <v>286379.4</v>
      </c>
      <c r="H194" s="31">
        <v>286379.4</v>
      </c>
      <c r="I194" s="52">
        <f>-67038.1+17868.8</f>
        <v>-49169.3</v>
      </c>
      <c r="J194" s="49">
        <f>F194+I194</f>
        <v>237210.10000000003</v>
      </c>
      <c r="K194" s="49">
        <v>0</v>
      </c>
      <c r="L194" s="49">
        <f>G194+K194</f>
        <v>286379.4</v>
      </c>
      <c r="M194" s="49">
        <v>0</v>
      </c>
      <c r="N194" s="49">
        <f>H194+M194</f>
        <v>286379.4</v>
      </c>
      <c r="O194" s="52">
        <v>24970.7</v>
      </c>
      <c r="P194" s="49">
        <f>J194+O194</f>
        <v>262180.80000000005</v>
      </c>
      <c r="Q194" s="49">
        <v>0</v>
      </c>
      <c r="R194" s="49">
        <f>L194+Q194</f>
        <v>286379.4</v>
      </c>
      <c r="S194" s="49">
        <v>0</v>
      </c>
      <c r="T194" s="49">
        <f>N194+S194</f>
        <v>286379.4</v>
      </c>
      <c r="U194" s="37">
        <v>24198.6</v>
      </c>
      <c r="V194" s="36">
        <v>286379.4</v>
      </c>
      <c r="W194" s="36">
        <v>0</v>
      </c>
      <c r="X194" s="36">
        <v>286379.4</v>
      </c>
      <c r="Y194" s="36">
        <v>0</v>
      </c>
      <c r="Z194" s="36">
        <v>286379.4</v>
      </c>
    </row>
    <row r="195" spans="1:26" s="1" customFormat="1" ht="15">
      <c r="A195" s="64"/>
      <c r="B195" s="84" t="s">
        <v>71</v>
      </c>
      <c r="C195" s="65"/>
      <c r="D195" s="85"/>
      <c r="E195" s="111" t="s">
        <v>72</v>
      </c>
      <c r="F195" s="31" t="e">
        <f aca="true" t="shared" si="56" ref="F195:T195">F205+F215+F196</f>
        <v>#REF!</v>
      </c>
      <c r="G195" s="31" t="e">
        <f t="shared" si="56"/>
        <v>#REF!</v>
      </c>
      <c r="H195" s="31" t="e">
        <f t="shared" si="56"/>
        <v>#REF!</v>
      </c>
      <c r="I195" s="49" t="e">
        <f t="shared" si="56"/>
        <v>#REF!</v>
      </c>
      <c r="J195" s="49" t="e">
        <f t="shared" si="56"/>
        <v>#REF!</v>
      </c>
      <c r="K195" s="52" t="e">
        <f t="shared" si="56"/>
        <v>#REF!</v>
      </c>
      <c r="L195" s="49" t="e">
        <f t="shared" si="56"/>
        <v>#REF!</v>
      </c>
      <c r="M195" s="52" t="e">
        <f t="shared" si="56"/>
        <v>#REF!</v>
      </c>
      <c r="N195" s="49" t="e">
        <f t="shared" si="56"/>
        <v>#REF!</v>
      </c>
      <c r="O195" s="49" t="e">
        <f t="shared" si="56"/>
        <v>#REF!</v>
      </c>
      <c r="P195" s="49" t="e">
        <f t="shared" si="56"/>
        <v>#REF!</v>
      </c>
      <c r="Q195" s="49" t="e">
        <f t="shared" si="56"/>
        <v>#REF!</v>
      </c>
      <c r="R195" s="49" t="e">
        <f t="shared" si="56"/>
        <v>#REF!</v>
      </c>
      <c r="S195" s="49" t="e">
        <f t="shared" si="56"/>
        <v>#REF!</v>
      </c>
      <c r="T195" s="49" t="e">
        <f t="shared" si="56"/>
        <v>#REF!</v>
      </c>
      <c r="U195" s="83">
        <v>3014.5</v>
      </c>
      <c r="V195" s="36">
        <v>194520.90000000002</v>
      </c>
      <c r="W195" s="36">
        <v>2908.9</v>
      </c>
      <c r="X195" s="36">
        <v>101917.3</v>
      </c>
      <c r="Y195" s="83">
        <v>-23129.1</v>
      </c>
      <c r="Z195" s="36">
        <v>72552.8</v>
      </c>
    </row>
    <row r="196" spans="1:26" s="24" customFormat="1" ht="13.5" customHeight="1">
      <c r="A196" s="64"/>
      <c r="B196" s="115" t="s">
        <v>109</v>
      </c>
      <c r="C196" s="74"/>
      <c r="D196" s="115"/>
      <c r="E196" s="117" t="s">
        <v>110</v>
      </c>
      <c r="F196" s="51" t="e">
        <f>F197</f>
        <v>#REF!</v>
      </c>
      <c r="G196" s="51" t="e">
        <f>G197</f>
        <v>#REF!</v>
      </c>
      <c r="H196" s="51" t="e">
        <f>H197</f>
        <v>#REF!</v>
      </c>
      <c r="I196" s="49" t="e">
        <f aca="true" t="shared" si="57" ref="I196:T196">I197</f>
        <v>#REF!</v>
      </c>
      <c r="J196" s="49" t="e">
        <f t="shared" si="57"/>
        <v>#REF!</v>
      </c>
      <c r="K196" s="49" t="e">
        <f t="shared" si="57"/>
        <v>#REF!</v>
      </c>
      <c r="L196" s="49" t="e">
        <f t="shared" si="57"/>
        <v>#REF!</v>
      </c>
      <c r="M196" s="49" t="e">
        <f t="shared" si="57"/>
        <v>#REF!</v>
      </c>
      <c r="N196" s="49" t="e">
        <f t="shared" si="57"/>
        <v>#REF!</v>
      </c>
      <c r="O196" s="49"/>
      <c r="P196" s="49" t="e">
        <f t="shared" si="57"/>
        <v>#REF!</v>
      </c>
      <c r="Q196" s="49"/>
      <c r="R196" s="49" t="e">
        <f t="shared" si="57"/>
        <v>#REF!</v>
      </c>
      <c r="S196" s="49"/>
      <c r="T196" s="49" t="e">
        <f t="shared" si="57"/>
        <v>#REF!</v>
      </c>
      <c r="U196" s="36">
        <v>932.8</v>
      </c>
      <c r="V196" s="36">
        <v>5888.3</v>
      </c>
      <c r="W196" s="36">
        <v>0</v>
      </c>
      <c r="X196" s="36">
        <v>0</v>
      </c>
      <c r="Y196" s="36">
        <v>0</v>
      </c>
      <c r="Z196" s="36">
        <v>0</v>
      </c>
    </row>
    <row r="197" spans="1:26" s="24" customFormat="1" ht="25.5">
      <c r="A197" s="64"/>
      <c r="B197" s="115"/>
      <c r="C197" s="65" t="s">
        <v>132</v>
      </c>
      <c r="D197" s="80"/>
      <c r="E197" s="109" t="s">
        <v>200</v>
      </c>
      <c r="F197" s="51" t="e">
        <f>F198+#REF!</f>
        <v>#REF!</v>
      </c>
      <c r="G197" s="51" t="e">
        <f>G198+#REF!</f>
        <v>#REF!</v>
      </c>
      <c r="H197" s="51" t="e">
        <f>H198+#REF!</f>
        <v>#REF!</v>
      </c>
      <c r="I197" s="49" t="e">
        <f>I198+#REF!</f>
        <v>#REF!</v>
      </c>
      <c r="J197" s="49" t="e">
        <f>J198+#REF!</f>
        <v>#REF!</v>
      </c>
      <c r="K197" s="49" t="e">
        <f>K198+#REF!</f>
        <v>#REF!</v>
      </c>
      <c r="L197" s="49" t="e">
        <f>L198+#REF!</f>
        <v>#REF!</v>
      </c>
      <c r="M197" s="49" t="e">
        <f>M198+#REF!</f>
        <v>#REF!</v>
      </c>
      <c r="N197" s="49" t="e">
        <f>N198+#REF!</f>
        <v>#REF!</v>
      </c>
      <c r="O197" s="49"/>
      <c r="P197" s="49" t="e">
        <f>P198+#REF!</f>
        <v>#REF!</v>
      </c>
      <c r="Q197" s="49"/>
      <c r="R197" s="49" t="e">
        <f>R198+#REF!</f>
        <v>#REF!</v>
      </c>
      <c r="S197" s="49"/>
      <c r="T197" s="49" t="e">
        <f>T198+#REF!</f>
        <v>#REF!</v>
      </c>
      <c r="U197" s="36">
        <v>932.8</v>
      </c>
      <c r="V197" s="36">
        <v>5888.3</v>
      </c>
      <c r="W197" s="36">
        <v>0</v>
      </c>
      <c r="X197" s="36">
        <v>0</v>
      </c>
      <c r="Y197" s="36">
        <v>0</v>
      </c>
      <c r="Z197" s="36">
        <v>0</v>
      </c>
    </row>
    <row r="198" spans="1:26" s="24" customFormat="1" ht="25.5">
      <c r="A198" s="64"/>
      <c r="B198" s="115"/>
      <c r="C198" s="115" t="s">
        <v>141</v>
      </c>
      <c r="D198" s="115"/>
      <c r="E198" s="118" t="s">
        <v>163</v>
      </c>
      <c r="F198" s="31">
        <f aca="true" t="shared" si="58" ref="F198:N198">F202</f>
        <v>0</v>
      </c>
      <c r="G198" s="31">
        <f t="shared" si="58"/>
        <v>0</v>
      </c>
      <c r="H198" s="31">
        <f t="shared" si="58"/>
        <v>0</v>
      </c>
      <c r="I198" s="49">
        <f t="shared" si="58"/>
        <v>4955.5</v>
      </c>
      <c r="J198" s="49">
        <f t="shared" si="58"/>
        <v>4955.5</v>
      </c>
      <c r="K198" s="49">
        <f t="shared" si="58"/>
        <v>0</v>
      </c>
      <c r="L198" s="49">
        <f t="shared" si="58"/>
        <v>0</v>
      </c>
      <c r="M198" s="49">
        <f t="shared" si="58"/>
        <v>0</v>
      </c>
      <c r="N198" s="49">
        <f t="shared" si="58"/>
        <v>0</v>
      </c>
      <c r="O198" s="49"/>
      <c r="P198" s="49">
        <f>P202</f>
        <v>4955.5</v>
      </c>
      <c r="Q198" s="49"/>
      <c r="R198" s="49">
        <f>R202</f>
        <v>0</v>
      </c>
      <c r="S198" s="49"/>
      <c r="T198" s="49">
        <f>T202</f>
        <v>0</v>
      </c>
      <c r="U198" s="36">
        <v>932.8</v>
      </c>
      <c r="V198" s="36">
        <v>5888.3</v>
      </c>
      <c r="W198" s="36">
        <v>0</v>
      </c>
      <c r="X198" s="36">
        <v>0</v>
      </c>
      <c r="Y198" s="36">
        <v>0</v>
      </c>
      <c r="Z198" s="36">
        <v>0</v>
      </c>
    </row>
    <row r="199" spans="1:26" s="24" customFormat="1" ht="38.25">
      <c r="A199" s="64"/>
      <c r="B199" s="115"/>
      <c r="C199" s="110" t="s">
        <v>142</v>
      </c>
      <c r="D199" s="110"/>
      <c r="E199" s="119" t="s">
        <v>143</v>
      </c>
      <c r="F199" s="31"/>
      <c r="G199" s="31"/>
      <c r="H199" s="31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36">
        <v>642.5</v>
      </c>
      <c r="V199" s="36">
        <v>642.5</v>
      </c>
      <c r="W199" s="36">
        <v>0</v>
      </c>
      <c r="X199" s="36">
        <v>0</v>
      </c>
      <c r="Y199" s="36">
        <v>0</v>
      </c>
      <c r="Z199" s="36">
        <v>0</v>
      </c>
    </row>
    <row r="200" spans="1:26" s="24" customFormat="1" ht="63.75">
      <c r="A200" s="64"/>
      <c r="B200" s="115"/>
      <c r="C200" s="115" t="s">
        <v>266</v>
      </c>
      <c r="D200" s="115"/>
      <c r="E200" s="118" t="s">
        <v>267</v>
      </c>
      <c r="F200" s="31"/>
      <c r="G200" s="31"/>
      <c r="H200" s="31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36">
        <v>642.5</v>
      </c>
      <c r="V200" s="36">
        <v>642.5</v>
      </c>
      <c r="W200" s="36">
        <v>0</v>
      </c>
      <c r="X200" s="36">
        <v>0</v>
      </c>
      <c r="Y200" s="36">
        <v>0</v>
      </c>
      <c r="Z200" s="36">
        <v>0</v>
      </c>
    </row>
    <row r="201" spans="1:26" s="24" customFormat="1" ht="38.25">
      <c r="A201" s="64"/>
      <c r="B201" s="115"/>
      <c r="C201" s="115"/>
      <c r="D201" s="74" t="s">
        <v>27</v>
      </c>
      <c r="E201" s="128" t="s">
        <v>105</v>
      </c>
      <c r="F201" s="31"/>
      <c r="G201" s="31"/>
      <c r="H201" s="31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36">
        <v>642.5</v>
      </c>
      <c r="V201" s="36">
        <v>642.5</v>
      </c>
      <c r="W201" s="36">
        <v>0</v>
      </c>
      <c r="X201" s="36">
        <v>0</v>
      </c>
      <c r="Y201" s="36">
        <v>0</v>
      </c>
      <c r="Z201" s="36">
        <v>0</v>
      </c>
    </row>
    <row r="202" spans="1:26" s="24" customFormat="1" ht="38.25">
      <c r="A202" s="64"/>
      <c r="B202" s="115"/>
      <c r="C202" s="110" t="s">
        <v>106</v>
      </c>
      <c r="D202" s="110"/>
      <c r="E202" s="119" t="s">
        <v>117</v>
      </c>
      <c r="F202" s="31">
        <f aca="true" t="shared" si="59" ref="F202:N202">F203</f>
        <v>0</v>
      </c>
      <c r="G202" s="31">
        <f t="shared" si="59"/>
        <v>0</v>
      </c>
      <c r="H202" s="31">
        <f t="shared" si="59"/>
        <v>0</v>
      </c>
      <c r="I202" s="49">
        <f t="shared" si="59"/>
        <v>4955.5</v>
      </c>
      <c r="J202" s="49">
        <f t="shared" si="59"/>
        <v>4955.5</v>
      </c>
      <c r="K202" s="49">
        <f t="shared" si="59"/>
        <v>0</v>
      </c>
      <c r="L202" s="49">
        <f t="shared" si="59"/>
        <v>0</v>
      </c>
      <c r="M202" s="49">
        <f t="shared" si="59"/>
        <v>0</v>
      </c>
      <c r="N202" s="49">
        <f t="shared" si="59"/>
        <v>0</v>
      </c>
      <c r="O202" s="49"/>
      <c r="P202" s="49">
        <f>P203</f>
        <v>4955.5</v>
      </c>
      <c r="Q202" s="49"/>
      <c r="R202" s="49">
        <f>R203</f>
        <v>0</v>
      </c>
      <c r="S202" s="49"/>
      <c r="T202" s="49">
        <f>T203</f>
        <v>0</v>
      </c>
      <c r="U202" s="36">
        <v>290.3</v>
      </c>
      <c r="V202" s="36">
        <v>5245.8</v>
      </c>
      <c r="W202" s="36">
        <v>0</v>
      </c>
      <c r="X202" s="36">
        <v>0</v>
      </c>
      <c r="Y202" s="36">
        <v>0</v>
      </c>
      <c r="Z202" s="36">
        <v>0</v>
      </c>
    </row>
    <row r="203" spans="1:26" s="24" customFormat="1" ht="51">
      <c r="A203" s="64"/>
      <c r="B203" s="115"/>
      <c r="C203" s="110" t="s">
        <v>107</v>
      </c>
      <c r="D203" s="120"/>
      <c r="E203" s="121" t="s">
        <v>108</v>
      </c>
      <c r="F203" s="31">
        <f aca="true" t="shared" si="60" ref="F203:T203">F204</f>
        <v>0</v>
      </c>
      <c r="G203" s="31">
        <f t="shared" si="60"/>
        <v>0</v>
      </c>
      <c r="H203" s="31">
        <f t="shared" si="60"/>
        <v>0</v>
      </c>
      <c r="I203" s="49">
        <f t="shared" si="60"/>
        <v>4955.5</v>
      </c>
      <c r="J203" s="49">
        <f t="shared" si="60"/>
        <v>4955.5</v>
      </c>
      <c r="K203" s="49">
        <f t="shared" si="60"/>
        <v>0</v>
      </c>
      <c r="L203" s="49">
        <f t="shared" si="60"/>
        <v>0</v>
      </c>
      <c r="M203" s="49">
        <f t="shared" si="60"/>
        <v>0</v>
      </c>
      <c r="N203" s="49">
        <f t="shared" si="60"/>
        <v>0</v>
      </c>
      <c r="O203" s="49"/>
      <c r="P203" s="49">
        <f t="shared" si="60"/>
        <v>4955.5</v>
      </c>
      <c r="Q203" s="49"/>
      <c r="R203" s="49">
        <f t="shared" si="60"/>
        <v>0</v>
      </c>
      <c r="S203" s="49"/>
      <c r="T203" s="49">
        <f t="shared" si="60"/>
        <v>0</v>
      </c>
      <c r="U203" s="36">
        <v>290.3</v>
      </c>
      <c r="V203" s="36">
        <v>5245.8</v>
      </c>
      <c r="W203" s="36">
        <v>0</v>
      </c>
      <c r="X203" s="36">
        <v>0</v>
      </c>
      <c r="Y203" s="36">
        <v>0</v>
      </c>
      <c r="Z203" s="36">
        <v>0</v>
      </c>
    </row>
    <row r="204" spans="1:26" s="24" customFormat="1" ht="38.25">
      <c r="A204" s="64"/>
      <c r="B204" s="115"/>
      <c r="C204" s="65"/>
      <c r="D204" s="98">
        <v>400</v>
      </c>
      <c r="E204" s="71" t="s">
        <v>115</v>
      </c>
      <c r="F204" s="31"/>
      <c r="G204" s="31"/>
      <c r="H204" s="31"/>
      <c r="I204" s="49">
        <f>1480+3475.5</f>
        <v>4955.5</v>
      </c>
      <c r="J204" s="49">
        <f>F204+I204</f>
        <v>4955.5</v>
      </c>
      <c r="K204" s="49">
        <v>0</v>
      </c>
      <c r="L204" s="49">
        <f>G204+K204</f>
        <v>0</v>
      </c>
      <c r="M204" s="49">
        <v>0</v>
      </c>
      <c r="N204" s="49">
        <f>H204+M204</f>
        <v>0</v>
      </c>
      <c r="O204" s="49"/>
      <c r="P204" s="49">
        <f>J204+O204</f>
        <v>4955.5</v>
      </c>
      <c r="Q204" s="49"/>
      <c r="R204" s="49">
        <f>L204+Q204</f>
        <v>0</v>
      </c>
      <c r="S204" s="49"/>
      <c r="T204" s="49">
        <f>N204+S204</f>
        <v>0</v>
      </c>
      <c r="U204" s="36">
        <v>290.3</v>
      </c>
      <c r="V204" s="36">
        <v>5245.8</v>
      </c>
      <c r="W204" s="36">
        <v>0</v>
      </c>
      <c r="X204" s="36">
        <v>0</v>
      </c>
      <c r="Y204" s="36">
        <v>0</v>
      </c>
      <c r="Z204" s="36">
        <v>0</v>
      </c>
    </row>
    <row r="205" spans="1:26" s="1" customFormat="1" ht="13.5" customHeight="1">
      <c r="A205" s="64"/>
      <c r="B205" s="115" t="s">
        <v>160</v>
      </c>
      <c r="C205" s="74"/>
      <c r="D205" s="115"/>
      <c r="E205" s="117" t="s">
        <v>161</v>
      </c>
      <c r="F205" s="51" t="e">
        <f>F206+#REF!</f>
        <v>#REF!</v>
      </c>
      <c r="G205" s="51" t="e">
        <f>G206+#REF!</f>
        <v>#REF!</v>
      </c>
      <c r="H205" s="51" t="e">
        <f>H206+#REF!</f>
        <v>#REF!</v>
      </c>
      <c r="I205" s="49" t="e">
        <f>I206+#REF!</f>
        <v>#REF!</v>
      </c>
      <c r="J205" s="49" t="e">
        <f>J206+#REF!</f>
        <v>#REF!</v>
      </c>
      <c r="K205" s="52" t="e">
        <f>K206+#REF!</f>
        <v>#REF!</v>
      </c>
      <c r="L205" s="49" t="e">
        <f>L206+#REF!</f>
        <v>#REF!</v>
      </c>
      <c r="M205" s="52" t="e">
        <f>M206+#REF!</f>
        <v>#REF!</v>
      </c>
      <c r="N205" s="49" t="e">
        <f>N206+#REF!</f>
        <v>#REF!</v>
      </c>
      <c r="O205" s="49" t="e">
        <f>O206+#REF!</f>
        <v>#REF!</v>
      </c>
      <c r="P205" s="49" t="e">
        <f>P206+#REF!</f>
        <v>#REF!</v>
      </c>
      <c r="Q205" s="49" t="e">
        <f>Q206+#REF!</f>
        <v>#REF!</v>
      </c>
      <c r="R205" s="49" t="e">
        <f>R206+#REF!</f>
        <v>#REF!</v>
      </c>
      <c r="S205" s="49" t="e">
        <f>S206+#REF!</f>
        <v>#REF!</v>
      </c>
      <c r="T205" s="49" t="e">
        <f>T206+#REF!</f>
        <v>#REF!</v>
      </c>
      <c r="U205" s="83">
        <v>-451.5999999999999</v>
      </c>
      <c r="V205" s="36">
        <v>154247.40000000002</v>
      </c>
      <c r="W205" s="36">
        <v>2908.9</v>
      </c>
      <c r="X205" s="36">
        <v>69860</v>
      </c>
      <c r="Y205" s="83">
        <v>-23129.1</v>
      </c>
      <c r="Z205" s="36">
        <v>40495.5</v>
      </c>
    </row>
    <row r="206" spans="1:26" s="1" customFormat="1" ht="25.5">
      <c r="A206" s="64"/>
      <c r="B206" s="115"/>
      <c r="C206" s="65" t="s">
        <v>132</v>
      </c>
      <c r="D206" s="80"/>
      <c r="E206" s="109" t="s">
        <v>200</v>
      </c>
      <c r="F206" s="51" t="e">
        <f>F207+#REF!</f>
        <v>#REF!</v>
      </c>
      <c r="G206" s="51" t="e">
        <f>G207+#REF!</f>
        <v>#REF!</v>
      </c>
      <c r="H206" s="51" t="e">
        <f>H207+#REF!</f>
        <v>#REF!</v>
      </c>
      <c r="I206" s="49" t="e">
        <f>I207+#REF!</f>
        <v>#REF!</v>
      </c>
      <c r="J206" s="49" t="e">
        <f>J207+#REF!</f>
        <v>#REF!</v>
      </c>
      <c r="K206" s="52" t="e">
        <f>K207+#REF!</f>
        <v>#REF!</v>
      </c>
      <c r="L206" s="49" t="e">
        <f>L207+#REF!</f>
        <v>#REF!</v>
      </c>
      <c r="M206" s="52" t="e">
        <f>M207+#REF!</f>
        <v>#REF!</v>
      </c>
      <c r="N206" s="49" t="e">
        <f>N207+#REF!</f>
        <v>#REF!</v>
      </c>
      <c r="O206" s="49" t="e">
        <f>O207+#REF!</f>
        <v>#REF!</v>
      </c>
      <c r="P206" s="49" t="e">
        <f>P207+#REF!</f>
        <v>#REF!</v>
      </c>
      <c r="Q206" s="49" t="e">
        <f>Q207+#REF!</f>
        <v>#REF!</v>
      </c>
      <c r="R206" s="49" t="e">
        <f>R207+#REF!</f>
        <v>#REF!</v>
      </c>
      <c r="S206" s="49" t="e">
        <f>S207+#REF!</f>
        <v>#REF!</v>
      </c>
      <c r="T206" s="49" t="e">
        <f>T207+#REF!</f>
        <v>#REF!</v>
      </c>
      <c r="U206" s="83">
        <v>-451.5999999999999</v>
      </c>
      <c r="V206" s="36">
        <v>145364.80000000002</v>
      </c>
      <c r="W206" s="36">
        <v>2908.9</v>
      </c>
      <c r="X206" s="36">
        <v>63146.5</v>
      </c>
      <c r="Y206" s="83">
        <v>-23129.1</v>
      </c>
      <c r="Z206" s="36">
        <v>33782</v>
      </c>
    </row>
    <row r="207" spans="1:26" s="1" customFormat="1" ht="25.5">
      <c r="A207" s="64"/>
      <c r="B207" s="115"/>
      <c r="C207" s="74" t="s">
        <v>133</v>
      </c>
      <c r="D207" s="115"/>
      <c r="E207" s="117" t="s">
        <v>162</v>
      </c>
      <c r="F207" s="31" t="e">
        <f>F208+#REF!</f>
        <v>#REF!</v>
      </c>
      <c r="G207" s="31" t="e">
        <f>G208+#REF!</f>
        <v>#REF!</v>
      </c>
      <c r="H207" s="31" t="e">
        <f>H208+#REF!</f>
        <v>#REF!</v>
      </c>
      <c r="I207" s="49" t="e">
        <f>I208+#REF!</f>
        <v>#REF!</v>
      </c>
      <c r="J207" s="49" t="e">
        <f>J208+#REF!</f>
        <v>#REF!</v>
      </c>
      <c r="K207" s="52" t="e">
        <f>K208+#REF!</f>
        <v>#REF!</v>
      </c>
      <c r="L207" s="49" t="e">
        <f>L208+#REF!</f>
        <v>#REF!</v>
      </c>
      <c r="M207" s="52" t="e">
        <f>M208+#REF!</f>
        <v>#REF!</v>
      </c>
      <c r="N207" s="49" t="e">
        <f>N208+#REF!</f>
        <v>#REF!</v>
      </c>
      <c r="O207" s="49" t="e">
        <f>O208+#REF!</f>
        <v>#REF!</v>
      </c>
      <c r="P207" s="49" t="e">
        <f>P208+#REF!</f>
        <v>#REF!</v>
      </c>
      <c r="Q207" s="49" t="e">
        <f>Q208+#REF!</f>
        <v>#REF!</v>
      </c>
      <c r="R207" s="49" t="e">
        <f>R208+#REF!</f>
        <v>#REF!</v>
      </c>
      <c r="S207" s="49" t="e">
        <f>S208+#REF!</f>
        <v>#REF!</v>
      </c>
      <c r="T207" s="49" t="e">
        <f>T208+#REF!</f>
        <v>#REF!</v>
      </c>
      <c r="U207" s="83">
        <v>-451.5999999999999</v>
      </c>
      <c r="V207" s="36">
        <v>142096.1</v>
      </c>
      <c r="W207" s="36">
        <v>2908.9</v>
      </c>
      <c r="X207" s="36">
        <v>59877.8</v>
      </c>
      <c r="Y207" s="83">
        <v>-23129.1</v>
      </c>
      <c r="Z207" s="36">
        <v>30513.300000000003</v>
      </c>
    </row>
    <row r="208" spans="1:26" s="1" customFormat="1" ht="51">
      <c r="A208" s="64"/>
      <c r="B208" s="115"/>
      <c r="C208" s="74" t="s">
        <v>134</v>
      </c>
      <c r="D208" s="115"/>
      <c r="E208" s="117" t="s">
        <v>135</v>
      </c>
      <c r="F208" s="31" t="e">
        <f>F209+F211+#REF!+#REF!+#REF!+F213</f>
        <v>#REF!</v>
      </c>
      <c r="G208" s="31" t="e">
        <f>G209+G211+#REF!+#REF!+#REF!+G213</f>
        <v>#REF!</v>
      </c>
      <c r="H208" s="31" t="e">
        <f>H209+H211+#REF!+#REF!+#REF!+H213</f>
        <v>#REF!</v>
      </c>
      <c r="I208" s="49" t="e">
        <f>I209+I211+#REF!+#REF!+#REF!+I213+#REF!</f>
        <v>#REF!</v>
      </c>
      <c r="J208" s="49" t="e">
        <f>J209+J211+#REF!+#REF!+#REF!+J213+#REF!</f>
        <v>#REF!</v>
      </c>
      <c r="K208" s="52" t="e">
        <f>K209+K211+#REF!+#REF!+#REF!+K213+#REF!</f>
        <v>#REF!</v>
      </c>
      <c r="L208" s="49" t="e">
        <f>L209+L211+#REF!+#REF!+#REF!+L213+#REF!</f>
        <v>#REF!</v>
      </c>
      <c r="M208" s="52" t="e">
        <f>M209+M211+#REF!+#REF!+#REF!+M213+#REF!</f>
        <v>#REF!</v>
      </c>
      <c r="N208" s="49" t="e">
        <f>N209+N211+#REF!+#REF!+#REF!+N213+#REF!</f>
        <v>#REF!</v>
      </c>
      <c r="O208" s="49" t="e">
        <f>O209+O211+#REF!+#REF!+#REF!+O213+#REF!</f>
        <v>#REF!</v>
      </c>
      <c r="P208" s="49" t="e">
        <f>P209+P211+#REF!+#REF!+#REF!+P213+#REF!</f>
        <v>#REF!</v>
      </c>
      <c r="Q208" s="49" t="e">
        <f>Q209+Q211+#REF!+#REF!+#REF!+Q213+#REF!</f>
        <v>#REF!</v>
      </c>
      <c r="R208" s="49" t="e">
        <f>R209+R211+#REF!+#REF!+#REF!+R213+#REF!</f>
        <v>#REF!</v>
      </c>
      <c r="S208" s="49" t="e">
        <f>S209+S211+#REF!+#REF!+#REF!+S213+#REF!</f>
        <v>#REF!</v>
      </c>
      <c r="T208" s="49" t="e">
        <f>T209+T211+#REF!+#REF!+#REF!+T213+#REF!</f>
        <v>#REF!</v>
      </c>
      <c r="U208" s="83">
        <v>-451.5999999999999</v>
      </c>
      <c r="V208" s="36">
        <v>142096.1</v>
      </c>
      <c r="W208" s="36">
        <v>2908.9</v>
      </c>
      <c r="X208" s="36">
        <v>59877.8</v>
      </c>
      <c r="Y208" s="83">
        <v>-23129.1</v>
      </c>
      <c r="Z208" s="36">
        <v>30513.300000000003</v>
      </c>
    </row>
    <row r="209" spans="1:26" s="1" customFormat="1" ht="38.25">
      <c r="A209" s="64"/>
      <c r="B209" s="115"/>
      <c r="C209" s="74" t="s">
        <v>94</v>
      </c>
      <c r="D209" s="115"/>
      <c r="E209" s="117" t="s">
        <v>136</v>
      </c>
      <c r="F209" s="31" t="e">
        <f>F210+#REF!</f>
        <v>#REF!</v>
      </c>
      <c r="G209" s="31" t="e">
        <f>G210+#REF!</f>
        <v>#REF!</v>
      </c>
      <c r="H209" s="31" t="e">
        <f>H210+#REF!</f>
        <v>#REF!</v>
      </c>
      <c r="I209" s="49" t="e">
        <f>I210+#REF!</f>
        <v>#REF!</v>
      </c>
      <c r="J209" s="49" t="e">
        <f>J210+#REF!</f>
        <v>#REF!</v>
      </c>
      <c r="K209" s="52" t="e">
        <f>K210+#REF!</f>
        <v>#REF!</v>
      </c>
      <c r="L209" s="49" t="e">
        <f>L210+#REF!</f>
        <v>#REF!</v>
      </c>
      <c r="M209" s="52" t="e">
        <f>M210+#REF!</f>
        <v>#REF!</v>
      </c>
      <c r="N209" s="49" t="e">
        <f>N210+#REF!</f>
        <v>#REF!</v>
      </c>
      <c r="O209" s="49" t="e">
        <f>O210+#REF!</f>
        <v>#REF!</v>
      </c>
      <c r="P209" s="49" t="e">
        <f>P210+#REF!</f>
        <v>#REF!</v>
      </c>
      <c r="Q209" s="49" t="e">
        <f>Q210+#REF!</f>
        <v>#REF!</v>
      </c>
      <c r="R209" s="49" t="e">
        <f>R210+#REF!</f>
        <v>#REF!</v>
      </c>
      <c r="S209" s="49" t="e">
        <f>S210+#REF!</f>
        <v>#REF!</v>
      </c>
      <c r="T209" s="49" t="e">
        <f>T210+#REF!</f>
        <v>#REF!</v>
      </c>
      <c r="U209" s="83">
        <v>-1051.6</v>
      </c>
      <c r="V209" s="36">
        <v>98744.2</v>
      </c>
      <c r="W209" s="36">
        <v>0</v>
      </c>
      <c r="X209" s="36">
        <v>38669.6</v>
      </c>
      <c r="Y209" s="83">
        <v>-23129.1</v>
      </c>
      <c r="Z209" s="36">
        <v>10321.300000000003</v>
      </c>
    </row>
    <row r="210" spans="1:26" s="1" customFormat="1" ht="38.25">
      <c r="A210" s="64"/>
      <c r="B210" s="115"/>
      <c r="C210" s="74"/>
      <c r="D210" s="80" t="s">
        <v>27</v>
      </c>
      <c r="E210" s="90" t="s">
        <v>105</v>
      </c>
      <c r="F210" s="31">
        <f>37494.3-13.6</f>
        <v>37480.700000000004</v>
      </c>
      <c r="G210" s="31">
        <v>32425</v>
      </c>
      <c r="H210" s="31">
        <v>32425</v>
      </c>
      <c r="I210" s="49">
        <f>171.9+269.9+1369.6+1314.6+1980.7+2938.7+1080.4+2000.5+183.3+29996.4+11417.8</f>
        <v>52723.8</v>
      </c>
      <c r="J210" s="49">
        <f>F210+I210</f>
        <v>90204.5</v>
      </c>
      <c r="K210" s="49">
        <v>0</v>
      </c>
      <c r="L210" s="49">
        <f>G210+K210</f>
        <v>32425</v>
      </c>
      <c r="M210" s="49">
        <v>0</v>
      </c>
      <c r="N210" s="49">
        <f>H210+M210</f>
        <v>32425</v>
      </c>
      <c r="O210" s="49">
        <v>9269.8</v>
      </c>
      <c r="P210" s="49">
        <f>J210+O210</f>
        <v>99474.3</v>
      </c>
      <c r="Q210" s="49">
        <v>6244.6</v>
      </c>
      <c r="R210" s="49">
        <f>L210+Q210</f>
        <v>38669.6</v>
      </c>
      <c r="S210" s="49">
        <v>1025.4</v>
      </c>
      <c r="T210" s="49">
        <f>N210+S210</f>
        <v>33450.4</v>
      </c>
      <c r="U210" s="83">
        <v>-1051.6</v>
      </c>
      <c r="V210" s="36">
        <v>98422.7</v>
      </c>
      <c r="W210" s="36">
        <v>0</v>
      </c>
      <c r="X210" s="36">
        <v>38669.6</v>
      </c>
      <c r="Y210" s="83">
        <v>-23129.1</v>
      </c>
      <c r="Z210" s="36">
        <v>10321.300000000003</v>
      </c>
    </row>
    <row r="211" spans="1:26" s="1" customFormat="1" ht="15">
      <c r="A211" s="64"/>
      <c r="B211" s="115"/>
      <c r="C211" s="74" t="s">
        <v>95</v>
      </c>
      <c r="D211" s="80"/>
      <c r="E211" s="109" t="s">
        <v>137</v>
      </c>
      <c r="F211" s="31">
        <f aca="true" t="shared" si="61" ref="F211:N211">SUM(F212:F212)</f>
        <v>2277</v>
      </c>
      <c r="G211" s="31">
        <f t="shared" si="61"/>
        <v>0</v>
      </c>
      <c r="H211" s="31">
        <f t="shared" si="61"/>
        <v>0</v>
      </c>
      <c r="I211" s="52">
        <f t="shared" si="61"/>
        <v>3260</v>
      </c>
      <c r="J211" s="49">
        <f t="shared" si="61"/>
        <v>5537</v>
      </c>
      <c r="K211" s="52">
        <f t="shared" si="61"/>
        <v>0</v>
      </c>
      <c r="L211" s="49">
        <f t="shared" si="61"/>
        <v>0</v>
      </c>
      <c r="M211" s="52">
        <f t="shared" si="61"/>
        <v>0</v>
      </c>
      <c r="N211" s="49">
        <f t="shared" si="61"/>
        <v>0</v>
      </c>
      <c r="O211" s="52"/>
      <c r="P211" s="49">
        <f>SUM(P212:P212)</f>
        <v>5537</v>
      </c>
      <c r="Q211" s="52"/>
      <c r="R211" s="49">
        <f>SUM(R212:R212)</f>
        <v>0</v>
      </c>
      <c r="S211" s="52"/>
      <c r="T211" s="49">
        <f>SUM(T212:T212)</f>
        <v>0</v>
      </c>
      <c r="U211" s="36">
        <v>600</v>
      </c>
      <c r="V211" s="36">
        <v>22064.4</v>
      </c>
      <c r="W211" s="36">
        <v>0</v>
      </c>
      <c r="X211" s="36">
        <v>11165.9</v>
      </c>
      <c r="Y211" s="36">
        <v>0</v>
      </c>
      <c r="Z211" s="36">
        <v>13106.9</v>
      </c>
    </row>
    <row r="212" spans="1:26" s="1" customFormat="1" ht="38.25">
      <c r="A212" s="64"/>
      <c r="B212" s="115"/>
      <c r="C212" s="74"/>
      <c r="D212" s="80" t="s">
        <v>27</v>
      </c>
      <c r="E212" s="109" t="s">
        <v>105</v>
      </c>
      <c r="F212" s="31">
        <f>1848.4+428.6</f>
        <v>2277</v>
      </c>
      <c r="G212" s="31">
        <v>0</v>
      </c>
      <c r="H212" s="31">
        <v>0</v>
      </c>
      <c r="I212" s="52">
        <f>2948.8+311.2</f>
        <v>3260</v>
      </c>
      <c r="J212" s="49">
        <f>F212+I212</f>
        <v>5537</v>
      </c>
      <c r="K212" s="49">
        <v>0</v>
      </c>
      <c r="L212" s="49">
        <f>G212+K212</f>
        <v>0</v>
      </c>
      <c r="M212" s="49">
        <v>0</v>
      </c>
      <c r="N212" s="49">
        <f>H212+M212</f>
        <v>0</v>
      </c>
      <c r="O212" s="52"/>
      <c r="P212" s="49">
        <f>J212+O212</f>
        <v>5537</v>
      </c>
      <c r="Q212" s="49"/>
      <c r="R212" s="49">
        <f>L212+Q212</f>
        <v>0</v>
      </c>
      <c r="S212" s="49"/>
      <c r="T212" s="49">
        <f>N212+S212</f>
        <v>0</v>
      </c>
      <c r="U212" s="37">
        <v>600</v>
      </c>
      <c r="V212" s="36">
        <v>6137</v>
      </c>
      <c r="W212" s="36">
        <v>0</v>
      </c>
      <c r="X212" s="36">
        <v>0</v>
      </c>
      <c r="Y212" s="36">
        <v>0</v>
      </c>
      <c r="Z212" s="36">
        <v>0</v>
      </c>
    </row>
    <row r="213" spans="1:26" s="24" customFormat="1" ht="25.5">
      <c r="A213" s="64"/>
      <c r="B213" s="115"/>
      <c r="C213" s="74" t="s">
        <v>238</v>
      </c>
      <c r="D213" s="80"/>
      <c r="E213" s="90" t="s">
        <v>237</v>
      </c>
      <c r="F213" s="31">
        <f>F214</f>
        <v>1222.2</v>
      </c>
      <c r="G213" s="31">
        <f aca="true" t="shared" si="62" ref="G213:T213">G214</f>
        <v>0</v>
      </c>
      <c r="H213" s="31">
        <f t="shared" si="62"/>
        <v>0</v>
      </c>
      <c r="I213" s="53">
        <f t="shared" si="62"/>
        <v>-1222.2</v>
      </c>
      <c r="J213" s="49">
        <f t="shared" si="62"/>
        <v>0</v>
      </c>
      <c r="K213" s="49">
        <f t="shared" si="62"/>
        <v>0</v>
      </c>
      <c r="L213" s="49">
        <f t="shared" si="62"/>
        <v>0</v>
      </c>
      <c r="M213" s="49">
        <f t="shared" si="62"/>
        <v>0</v>
      </c>
      <c r="N213" s="49">
        <f t="shared" si="62"/>
        <v>0</v>
      </c>
      <c r="O213" s="52"/>
      <c r="P213" s="49">
        <f t="shared" si="62"/>
        <v>0</v>
      </c>
      <c r="Q213" s="49"/>
      <c r="R213" s="49">
        <f t="shared" si="62"/>
        <v>0</v>
      </c>
      <c r="S213" s="49"/>
      <c r="T213" s="49">
        <f t="shared" si="62"/>
        <v>0</v>
      </c>
      <c r="U213" s="36">
        <v>0</v>
      </c>
      <c r="V213" s="36">
        <v>0</v>
      </c>
      <c r="W213" s="36">
        <v>2908.9</v>
      </c>
      <c r="X213" s="36">
        <v>2908.9</v>
      </c>
      <c r="Y213" s="36">
        <v>0</v>
      </c>
      <c r="Z213" s="36">
        <v>0</v>
      </c>
    </row>
    <row r="214" spans="1:26" s="24" customFormat="1" ht="38.25">
      <c r="A214" s="64"/>
      <c r="B214" s="115"/>
      <c r="C214" s="74"/>
      <c r="D214" s="80" t="s">
        <v>27</v>
      </c>
      <c r="E214" s="90" t="s">
        <v>105</v>
      </c>
      <c r="F214" s="31">
        <f>12.2+1210</f>
        <v>1222.2</v>
      </c>
      <c r="G214" s="31">
        <v>0</v>
      </c>
      <c r="H214" s="31">
        <v>0</v>
      </c>
      <c r="I214" s="53">
        <f>-1210-12.2</f>
        <v>-1222.2</v>
      </c>
      <c r="J214" s="49">
        <f>F214+I214</f>
        <v>0</v>
      </c>
      <c r="K214" s="49">
        <v>0</v>
      </c>
      <c r="L214" s="49">
        <f>G214+K214</f>
        <v>0</v>
      </c>
      <c r="M214" s="49">
        <v>0</v>
      </c>
      <c r="N214" s="49">
        <f>H214+M214</f>
        <v>0</v>
      </c>
      <c r="O214" s="52"/>
      <c r="P214" s="49">
        <f>J214+O214</f>
        <v>0</v>
      </c>
      <c r="Q214" s="49"/>
      <c r="R214" s="49">
        <f>L214+Q214</f>
        <v>0</v>
      </c>
      <c r="S214" s="49"/>
      <c r="T214" s="49">
        <f>N214+S214</f>
        <v>0</v>
      </c>
      <c r="U214" s="37">
        <v>0</v>
      </c>
      <c r="V214" s="36">
        <v>0</v>
      </c>
      <c r="W214" s="36">
        <v>2908.9</v>
      </c>
      <c r="X214" s="36">
        <v>2908.9</v>
      </c>
      <c r="Y214" s="36">
        <v>0</v>
      </c>
      <c r="Z214" s="36">
        <v>0</v>
      </c>
    </row>
    <row r="215" spans="1:26" s="1" customFormat="1" ht="25.5">
      <c r="A215" s="64"/>
      <c r="B215" s="112" t="s">
        <v>164</v>
      </c>
      <c r="C215" s="74"/>
      <c r="D215" s="113"/>
      <c r="E215" s="129" t="s">
        <v>165</v>
      </c>
      <c r="F215" s="31" t="e">
        <f>F216</f>
        <v>#REF!</v>
      </c>
      <c r="G215" s="31" t="e">
        <f>G216</f>
        <v>#REF!</v>
      </c>
      <c r="H215" s="31" t="e">
        <f>H216</f>
        <v>#REF!</v>
      </c>
      <c r="I215" s="49"/>
      <c r="J215" s="49" t="e">
        <f>J216</f>
        <v>#REF!</v>
      </c>
      <c r="K215" s="49"/>
      <c r="L215" s="49" t="e">
        <f>L216</f>
        <v>#REF!</v>
      </c>
      <c r="M215" s="49"/>
      <c r="N215" s="49" t="e">
        <f aca="true" t="shared" si="63" ref="N215:T215">N216</f>
        <v>#REF!</v>
      </c>
      <c r="O215" s="49" t="e">
        <f t="shared" si="63"/>
        <v>#REF!</v>
      </c>
      <c r="P215" s="49" t="e">
        <f t="shared" si="63"/>
        <v>#REF!</v>
      </c>
      <c r="Q215" s="49" t="e">
        <f t="shared" si="63"/>
        <v>#REF!</v>
      </c>
      <c r="R215" s="49" t="e">
        <f t="shared" si="63"/>
        <v>#REF!</v>
      </c>
      <c r="S215" s="49" t="e">
        <f t="shared" si="63"/>
        <v>#REF!</v>
      </c>
      <c r="T215" s="49" t="e">
        <f t="shared" si="63"/>
        <v>#REF!</v>
      </c>
      <c r="U215" s="36">
        <v>2533.3</v>
      </c>
      <c r="V215" s="36">
        <v>34385.2</v>
      </c>
      <c r="W215" s="36">
        <v>0</v>
      </c>
      <c r="X215" s="36">
        <v>32057.300000000003</v>
      </c>
      <c r="Y215" s="36">
        <v>0</v>
      </c>
      <c r="Z215" s="36">
        <v>32057.300000000003</v>
      </c>
    </row>
    <row r="216" spans="1:26" s="1" customFormat="1" ht="25.5">
      <c r="A216" s="64"/>
      <c r="B216" s="112"/>
      <c r="C216" s="65" t="s">
        <v>132</v>
      </c>
      <c r="D216" s="80"/>
      <c r="E216" s="109" t="s">
        <v>200</v>
      </c>
      <c r="F216" s="31" t="e">
        <f>#REF!+F217</f>
        <v>#REF!</v>
      </c>
      <c r="G216" s="31" t="e">
        <f>#REF!+G217</f>
        <v>#REF!</v>
      </c>
      <c r="H216" s="31" t="e">
        <f>#REF!+H217</f>
        <v>#REF!</v>
      </c>
      <c r="I216" s="49"/>
      <c r="J216" s="49" t="e">
        <f>#REF!+J217</f>
        <v>#REF!</v>
      </c>
      <c r="K216" s="49"/>
      <c r="L216" s="49" t="e">
        <f>#REF!+L217</f>
        <v>#REF!</v>
      </c>
      <c r="M216" s="49"/>
      <c r="N216" s="49" t="e">
        <f>#REF!+N217</f>
        <v>#REF!</v>
      </c>
      <c r="O216" s="49" t="e">
        <f>#REF!+O217</f>
        <v>#REF!</v>
      </c>
      <c r="P216" s="49" t="e">
        <f>#REF!+P217</f>
        <v>#REF!</v>
      </c>
      <c r="Q216" s="49" t="e">
        <f>#REF!+Q217</f>
        <v>#REF!</v>
      </c>
      <c r="R216" s="49" t="e">
        <f>#REF!+R217</f>
        <v>#REF!</v>
      </c>
      <c r="S216" s="49" t="e">
        <f>#REF!+S217</f>
        <v>#REF!</v>
      </c>
      <c r="T216" s="49" t="e">
        <f>#REF!+T217</f>
        <v>#REF!</v>
      </c>
      <c r="U216" s="36">
        <v>2533.3</v>
      </c>
      <c r="V216" s="36">
        <v>34385.2</v>
      </c>
      <c r="W216" s="36">
        <v>0</v>
      </c>
      <c r="X216" s="36">
        <v>32057.300000000003</v>
      </c>
      <c r="Y216" s="36">
        <v>0</v>
      </c>
      <c r="Z216" s="36">
        <v>32057.300000000003</v>
      </c>
    </row>
    <row r="217" spans="1:26" s="1" customFormat="1" ht="25.5">
      <c r="A217" s="64"/>
      <c r="B217" s="74"/>
      <c r="C217" s="115" t="s">
        <v>141</v>
      </c>
      <c r="D217" s="115"/>
      <c r="E217" s="117" t="s">
        <v>163</v>
      </c>
      <c r="F217" s="51" t="e">
        <f>#REF!</f>
        <v>#REF!</v>
      </c>
      <c r="G217" s="51" t="e">
        <f>#REF!</f>
        <v>#REF!</v>
      </c>
      <c r="H217" s="51" t="e">
        <f>#REF!</f>
        <v>#REF!</v>
      </c>
      <c r="I217" s="49"/>
      <c r="J217" s="49" t="e">
        <f>#REF!</f>
        <v>#REF!</v>
      </c>
      <c r="K217" s="49"/>
      <c r="L217" s="49" t="e">
        <f>#REF!</f>
        <v>#REF!</v>
      </c>
      <c r="M217" s="49"/>
      <c r="N217" s="49" t="e">
        <f>#REF!</f>
        <v>#REF!</v>
      </c>
      <c r="O217" s="49"/>
      <c r="P217" s="49" t="e">
        <f>#REF!</f>
        <v>#REF!</v>
      </c>
      <c r="Q217" s="49"/>
      <c r="R217" s="49" t="e">
        <f>#REF!</f>
        <v>#REF!</v>
      </c>
      <c r="S217" s="49"/>
      <c r="T217" s="49" t="e">
        <f>#REF!</f>
        <v>#REF!</v>
      </c>
      <c r="U217" s="36">
        <v>2533.3</v>
      </c>
      <c r="V217" s="36">
        <v>2661.5</v>
      </c>
      <c r="W217" s="36">
        <v>0</v>
      </c>
      <c r="X217" s="36">
        <v>128.2</v>
      </c>
      <c r="Y217" s="36">
        <v>0</v>
      </c>
      <c r="Z217" s="36">
        <v>128.2</v>
      </c>
    </row>
    <row r="218" spans="1:26" s="6" customFormat="1" ht="38.25">
      <c r="A218" s="64"/>
      <c r="B218" s="74"/>
      <c r="C218" s="110" t="s">
        <v>142</v>
      </c>
      <c r="D218" s="110"/>
      <c r="E218" s="119" t="s">
        <v>143</v>
      </c>
      <c r="F218" s="51"/>
      <c r="G218" s="51"/>
      <c r="H218" s="51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36">
        <v>2533.3</v>
      </c>
      <c r="V218" s="36">
        <v>2533.3</v>
      </c>
      <c r="W218" s="36">
        <v>0</v>
      </c>
      <c r="X218" s="36">
        <v>0</v>
      </c>
      <c r="Y218" s="36">
        <v>0</v>
      </c>
      <c r="Z218" s="36">
        <v>0</v>
      </c>
    </row>
    <row r="219" spans="1:26" s="6" customFormat="1" ht="51">
      <c r="A219" s="64"/>
      <c r="B219" s="74"/>
      <c r="C219" s="115" t="s">
        <v>268</v>
      </c>
      <c r="D219" s="115"/>
      <c r="E219" s="118" t="s">
        <v>269</v>
      </c>
      <c r="F219" s="51"/>
      <c r="G219" s="51"/>
      <c r="H219" s="51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36">
        <v>2533.3</v>
      </c>
      <c r="V219" s="36">
        <v>2533.3</v>
      </c>
      <c r="W219" s="36">
        <v>0</v>
      </c>
      <c r="X219" s="36">
        <v>0</v>
      </c>
      <c r="Y219" s="36">
        <v>0</v>
      </c>
      <c r="Z219" s="36">
        <v>0</v>
      </c>
    </row>
    <row r="220" spans="1:26" s="6" customFormat="1" ht="38.25">
      <c r="A220" s="64"/>
      <c r="B220" s="74"/>
      <c r="C220" s="115"/>
      <c r="D220" s="74" t="s">
        <v>27</v>
      </c>
      <c r="E220" s="128" t="s">
        <v>105</v>
      </c>
      <c r="F220" s="51"/>
      <c r="G220" s="51"/>
      <c r="H220" s="51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36">
        <v>2533.3</v>
      </c>
      <c r="V220" s="36">
        <v>2533.3</v>
      </c>
      <c r="W220" s="36">
        <v>0</v>
      </c>
      <c r="X220" s="36">
        <v>0</v>
      </c>
      <c r="Y220" s="36">
        <v>0</v>
      </c>
      <c r="Z220" s="36">
        <v>0</v>
      </c>
    </row>
    <row r="221" spans="1:26" s="48" customFormat="1" ht="3.75" customHeight="1">
      <c r="A221" s="41"/>
      <c r="B221" s="42"/>
      <c r="C221" s="43"/>
      <c r="D221" s="44"/>
      <c r="E221" s="45"/>
      <c r="F221" s="55"/>
      <c r="G221" s="55"/>
      <c r="H221" s="55"/>
      <c r="I221" s="55"/>
      <c r="J221" s="61"/>
      <c r="K221" s="55"/>
      <c r="L221" s="61"/>
      <c r="M221" s="55"/>
      <c r="N221" s="61"/>
      <c r="O221" s="55"/>
      <c r="P221" s="61"/>
      <c r="Q221" s="55"/>
      <c r="R221" s="61"/>
      <c r="S221" s="55"/>
      <c r="T221" s="61"/>
      <c r="U221" s="46"/>
      <c r="V221" s="47"/>
      <c r="W221" s="46"/>
      <c r="X221" s="47"/>
      <c r="Y221" s="46"/>
      <c r="Z221" s="47"/>
    </row>
    <row r="222" spans="1:26" s="1" customFormat="1" ht="15.75">
      <c r="A222" s="21"/>
      <c r="B222" s="21"/>
      <c r="C222" s="21"/>
      <c r="D222" s="21"/>
      <c r="E222" s="38" t="s">
        <v>168</v>
      </c>
      <c r="F222" s="56" t="e">
        <f>#REF!+F12+F27+F33+F60+F70+F176+#REF!+F182</f>
        <v>#REF!</v>
      </c>
      <c r="G222" s="56" t="e">
        <f>#REF!+G12+G27+G33+G60+G70+G176+#REF!+G182</f>
        <v>#REF!</v>
      </c>
      <c r="H222" s="56" t="e">
        <f>#REF!+H12+H27+H33+H60+H70+H176+#REF!+H182</f>
        <v>#REF!</v>
      </c>
      <c r="I222" s="56" t="e">
        <f>#REF!+I12+I27+I33+I60+I70+I176+#REF!+I182</f>
        <v>#REF!</v>
      </c>
      <c r="J222" s="62" t="e">
        <f>#REF!+J12+J27+J33+J60+J70+J176+#REF!+J182</f>
        <v>#REF!</v>
      </c>
      <c r="K222" s="56" t="e">
        <f>#REF!+K12+K27+K33+K60+K70+K176+#REF!+K182</f>
        <v>#REF!</v>
      </c>
      <c r="L222" s="62" t="e">
        <f>#REF!+L12+L27+L33+L60+L70+L176+#REF!+L182</f>
        <v>#REF!</v>
      </c>
      <c r="M222" s="56" t="e">
        <f>#REF!+M12+M27+M33+M60+M70+M176+#REF!+M182</f>
        <v>#REF!</v>
      </c>
      <c r="N222" s="62" t="e">
        <f>#REF!+N12+N27+N33+N60+N70+N176+#REF!+N182</f>
        <v>#REF!</v>
      </c>
      <c r="O222" s="56" t="e">
        <f>#REF!+O12+O27+O33+O60+O70+O176+#REF!+O182</f>
        <v>#REF!</v>
      </c>
      <c r="P222" s="62" t="e">
        <f>#REF!+P12+P27+P33+P60+P70+P176+#REF!+P182</f>
        <v>#REF!</v>
      </c>
      <c r="Q222" s="56" t="e">
        <f>#REF!+Q12+Q27+Q33+Q60+Q70+Q176+#REF!+Q182</f>
        <v>#REF!</v>
      </c>
      <c r="R222" s="62" t="e">
        <f>#REF!+R12+R27+R33+R60+R70+R176+#REF!+R182</f>
        <v>#REF!</v>
      </c>
      <c r="S222" s="56" t="e">
        <f>#REF!+S12+S27+S33+S60+S70+S176+#REF!+S182</f>
        <v>#REF!</v>
      </c>
      <c r="T222" s="62" t="e">
        <f>#REF!+T12+T27+T33+T60+T70+T176+#REF!+T182</f>
        <v>#REF!</v>
      </c>
      <c r="U222" s="39">
        <v>-44168.59999999999</v>
      </c>
      <c r="V222" s="40">
        <v>6517698.399999999</v>
      </c>
      <c r="W222" s="39">
        <v>45398.399999999994</v>
      </c>
      <c r="X222" s="40">
        <v>4854035.4</v>
      </c>
      <c r="Y222" s="39">
        <v>72750.40000000002</v>
      </c>
      <c r="Z222" s="40">
        <v>4701514.2</v>
      </c>
    </row>
    <row r="223" spans="21:26" ht="12.75">
      <c r="U223" s="1"/>
      <c r="V223" s="1"/>
      <c r="W223" s="1"/>
      <c r="X223" s="1"/>
      <c r="Y223" s="1"/>
      <c r="Z223" s="1"/>
    </row>
    <row r="224" spans="5:26" ht="12.75">
      <c r="E224" s="4"/>
      <c r="U224" s="1"/>
      <c r="V224" s="1"/>
      <c r="W224" s="1"/>
      <c r="X224" s="1"/>
      <c r="Y224" s="1"/>
      <c r="Z224" s="1"/>
    </row>
    <row r="225" spans="5:26" ht="12.75">
      <c r="E225" s="4"/>
      <c r="U225" s="1"/>
      <c r="V225" s="1"/>
      <c r="W225" s="1"/>
      <c r="X225" s="1"/>
      <c r="Y225" s="1"/>
      <c r="Z225" s="1"/>
    </row>
    <row r="226" spans="5:26" ht="12.75">
      <c r="E226" s="4"/>
      <c r="U226" s="1"/>
      <c r="V226" s="1"/>
      <c r="W226" s="1"/>
      <c r="X226" s="1"/>
      <c r="Y226" s="1"/>
      <c r="Z226" s="1"/>
    </row>
    <row r="227" spans="5:26" ht="12.75">
      <c r="E227" s="4"/>
      <c r="U227" s="1"/>
      <c r="V227" s="1"/>
      <c r="W227" s="1"/>
      <c r="X227" s="1"/>
      <c r="Y227" s="1"/>
      <c r="Z227" s="1"/>
    </row>
    <row r="228" spans="5:26" ht="12.75">
      <c r="E228" s="4"/>
      <c r="U228" s="1"/>
      <c r="V228" s="1"/>
      <c r="W228" s="1"/>
      <c r="X228" s="1"/>
      <c r="Y228" s="1"/>
      <c r="Z228" s="1"/>
    </row>
    <row r="229" spans="5:26" ht="12.75">
      <c r="E229" s="4"/>
      <c r="U229" s="1"/>
      <c r="V229" s="1"/>
      <c r="W229" s="1"/>
      <c r="X229" s="1"/>
      <c r="Y229" s="1"/>
      <c r="Z229" s="1"/>
    </row>
    <row r="230" spans="5:26" ht="12.75">
      <c r="E230" s="4"/>
      <c r="U230" s="1"/>
      <c r="V230" s="1"/>
      <c r="W230" s="1"/>
      <c r="X230" s="1"/>
      <c r="Y230" s="1"/>
      <c r="Z230" s="1"/>
    </row>
    <row r="231" spans="5:26" ht="12.75">
      <c r="E231" s="4"/>
      <c r="U231" s="1"/>
      <c r="V231" s="1"/>
      <c r="W231" s="1"/>
      <c r="X231" s="1"/>
      <c r="Y231" s="1"/>
      <c r="Z231" s="1"/>
    </row>
    <row r="232" spans="5:26" ht="12.75">
      <c r="E232" s="4"/>
      <c r="U232" s="1"/>
      <c r="V232" s="1"/>
      <c r="W232" s="1"/>
      <c r="X232" s="1"/>
      <c r="Y232" s="1"/>
      <c r="Z232" s="1"/>
    </row>
    <row r="233" spans="5:26" ht="12.75">
      <c r="E233" s="4"/>
      <c r="U233" s="1"/>
      <c r="V233" s="1"/>
      <c r="W233" s="1"/>
      <c r="X233" s="1"/>
      <c r="Y233" s="1"/>
      <c r="Z233" s="1"/>
    </row>
    <row r="234" spans="5:26" ht="12.75">
      <c r="E234" s="4"/>
      <c r="U234" s="1"/>
      <c r="V234" s="1"/>
      <c r="W234" s="1"/>
      <c r="X234" s="1"/>
      <c r="Y234" s="1"/>
      <c r="Z234" s="1"/>
    </row>
    <row r="235" spans="5:26" ht="12.75">
      <c r="E235" s="4"/>
      <c r="U235" s="1"/>
      <c r="V235" s="1"/>
      <c r="W235" s="1"/>
      <c r="X235" s="1"/>
      <c r="Y235" s="1"/>
      <c r="Z235" s="1"/>
    </row>
    <row r="236" spans="5:26" ht="12.75">
      <c r="E236" s="4"/>
      <c r="U236" s="1"/>
      <c r="V236" s="1"/>
      <c r="W236" s="1"/>
      <c r="X236" s="1"/>
      <c r="Y236" s="1"/>
      <c r="Z236" s="1"/>
    </row>
    <row r="237" spans="5:26" ht="12.75">
      <c r="E237" s="4"/>
      <c r="U237" s="1"/>
      <c r="V237" s="1"/>
      <c r="W237" s="1"/>
      <c r="X237" s="1"/>
      <c r="Y237" s="1"/>
      <c r="Z237" s="1"/>
    </row>
    <row r="238" spans="5:26" ht="12.75">
      <c r="E238" s="4"/>
      <c r="U238" s="1"/>
      <c r="V238" s="1"/>
      <c r="W238" s="1"/>
      <c r="X238" s="1"/>
      <c r="Y238" s="1"/>
      <c r="Z238" s="1"/>
    </row>
    <row r="239" spans="5:26" ht="12.75">
      <c r="E239" s="4"/>
      <c r="U239" s="1"/>
      <c r="V239" s="1"/>
      <c r="W239" s="1"/>
      <c r="X239" s="1"/>
      <c r="Y239" s="1"/>
      <c r="Z239" s="1"/>
    </row>
    <row r="240" spans="5:26" ht="12.75">
      <c r="E240" s="4"/>
      <c r="U240" s="1"/>
      <c r="V240" s="1"/>
      <c r="W240" s="1"/>
      <c r="X240" s="1"/>
      <c r="Y240" s="1"/>
      <c r="Z240" s="1"/>
    </row>
    <row r="241" spans="5:26" ht="12.75">
      <c r="E241" s="4"/>
      <c r="U241" s="1"/>
      <c r="V241" s="1"/>
      <c r="W241" s="1"/>
      <c r="X241" s="1"/>
      <c r="Y241" s="1"/>
      <c r="Z241" s="1"/>
    </row>
    <row r="242" spans="5:26" ht="12.75">
      <c r="E242" s="4"/>
      <c r="U242" s="1"/>
      <c r="V242" s="1"/>
      <c r="W242" s="1"/>
      <c r="X242" s="1"/>
      <c r="Y242" s="1"/>
      <c r="Z242" s="1"/>
    </row>
    <row r="243" spans="5:26" ht="12.75">
      <c r="E243" s="4"/>
      <c r="U243" s="1"/>
      <c r="V243" s="1"/>
      <c r="W243" s="1"/>
      <c r="X243" s="1"/>
      <c r="Y243" s="1"/>
      <c r="Z243" s="1"/>
    </row>
    <row r="244" spans="5:26" ht="12.75">
      <c r="E244" s="4"/>
      <c r="U244" s="1"/>
      <c r="V244" s="1"/>
      <c r="W244" s="1"/>
      <c r="X244" s="1"/>
      <c r="Y244" s="1"/>
      <c r="Z244" s="1"/>
    </row>
    <row r="245" spans="5:26" ht="12.75">
      <c r="E245" s="4"/>
      <c r="U245" s="1"/>
      <c r="V245" s="1"/>
      <c r="W245" s="1"/>
      <c r="X245" s="1"/>
      <c r="Y245" s="1"/>
      <c r="Z245" s="1"/>
    </row>
    <row r="246" spans="5:26" ht="12.75">
      <c r="E246" s="4"/>
      <c r="U246" s="1"/>
      <c r="V246" s="1"/>
      <c r="W246" s="1"/>
      <c r="X246" s="1"/>
      <c r="Y246" s="1"/>
      <c r="Z246" s="1"/>
    </row>
    <row r="247" spans="5:26" ht="12.75">
      <c r="E247" s="4"/>
      <c r="U247" s="1"/>
      <c r="V247" s="1"/>
      <c r="W247" s="1"/>
      <c r="X247" s="1"/>
      <c r="Y247" s="1"/>
      <c r="Z247" s="1"/>
    </row>
    <row r="248" spans="5:26" ht="12.75">
      <c r="E248" s="4"/>
      <c r="U248" s="1"/>
      <c r="V248" s="1"/>
      <c r="W248" s="1"/>
      <c r="X248" s="1"/>
      <c r="Y248" s="1"/>
      <c r="Z248" s="1"/>
    </row>
    <row r="249" spans="5:26" ht="12.75">
      <c r="E249" s="4"/>
      <c r="U249" s="1"/>
      <c r="V249" s="1"/>
      <c r="W249" s="1"/>
      <c r="X249" s="1"/>
      <c r="Y249" s="1"/>
      <c r="Z249" s="1"/>
    </row>
    <row r="250" spans="5:26" ht="12.75">
      <c r="E250" s="4"/>
      <c r="U250" s="1"/>
      <c r="V250" s="1"/>
      <c r="W250" s="1"/>
      <c r="X250" s="1"/>
      <c r="Y250" s="1"/>
      <c r="Z250" s="1"/>
    </row>
    <row r="251" spans="5:26" ht="12.75">
      <c r="E251" s="4"/>
      <c r="U251" s="1"/>
      <c r="V251" s="1"/>
      <c r="W251" s="1"/>
      <c r="X251" s="1"/>
      <c r="Y251" s="1"/>
      <c r="Z251" s="1"/>
    </row>
    <row r="252" spans="5:26" ht="12.75">
      <c r="E252" s="4"/>
      <c r="U252" s="1"/>
      <c r="V252" s="1"/>
      <c r="W252" s="1"/>
      <c r="X252" s="1"/>
      <c r="Y252" s="1"/>
      <c r="Z252" s="1"/>
    </row>
    <row r="253" spans="5:26" ht="12.75">
      <c r="E253" s="4"/>
      <c r="U253" s="1"/>
      <c r="V253" s="1"/>
      <c r="W253" s="1"/>
      <c r="X253" s="1"/>
      <c r="Y253" s="1"/>
      <c r="Z253" s="1"/>
    </row>
    <row r="254" spans="5:26" ht="12.75">
      <c r="E254" s="4"/>
      <c r="U254" s="1"/>
      <c r="V254" s="1"/>
      <c r="W254" s="1"/>
      <c r="X254" s="1"/>
      <c r="Y254" s="1"/>
      <c r="Z254" s="1"/>
    </row>
    <row r="255" spans="5:26" ht="12.75">
      <c r="E255" s="4"/>
      <c r="U255" s="1"/>
      <c r="V255" s="1"/>
      <c r="W255" s="1"/>
      <c r="X255" s="1"/>
      <c r="Y255" s="1"/>
      <c r="Z255" s="1"/>
    </row>
    <row r="256" spans="5:26" ht="12.75">
      <c r="E256" s="4"/>
      <c r="U256" s="1"/>
      <c r="V256" s="1"/>
      <c r="W256" s="1"/>
      <c r="X256" s="1"/>
      <c r="Y256" s="1"/>
      <c r="Z256" s="1"/>
    </row>
    <row r="257" spans="5:26" ht="12.75">
      <c r="E257" s="4"/>
      <c r="U257" s="1"/>
      <c r="V257" s="1"/>
      <c r="W257" s="1"/>
      <c r="X257" s="1"/>
      <c r="Y257" s="1"/>
      <c r="Z257" s="1"/>
    </row>
    <row r="258" spans="5:26" ht="12.75">
      <c r="E258" s="4"/>
      <c r="U258" s="1"/>
      <c r="V258" s="1"/>
      <c r="W258" s="1"/>
      <c r="X258" s="1"/>
      <c r="Y258" s="1"/>
      <c r="Z258" s="1"/>
    </row>
    <row r="259" spans="5:26" ht="12.75">
      <c r="E259" s="4"/>
      <c r="U259" s="1"/>
      <c r="V259" s="1"/>
      <c r="W259" s="1"/>
      <c r="X259" s="1"/>
      <c r="Y259" s="1"/>
      <c r="Z259" s="1"/>
    </row>
    <row r="260" spans="5:26" ht="12.75">
      <c r="E260" s="4"/>
      <c r="U260" s="1"/>
      <c r="V260" s="1"/>
      <c r="W260" s="1"/>
      <c r="X260" s="1"/>
      <c r="Y260" s="1"/>
      <c r="Z260" s="1"/>
    </row>
    <row r="261" spans="5:26" ht="12.75">
      <c r="E261" s="4"/>
      <c r="U261" s="1"/>
      <c r="V261" s="1"/>
      <c r="W261" s="1"/>
      <c r="X261" s="1"/>
      <c r="Y261" s="1"/>
      <c r="Z261" s="1"/>
    </row>
    <row r="262" spans="5:26" ht="12.75">
      <c r="E262" s="4"/>
      <c r="U262" s="1"/>
      <c r="V262" s="1"/>
      <c r="W262" s="1"/>
      <c r="X262" s="1"/>
      <c r="Y262" s="1"/>
      <c r="Z262" s="1"/>
    </row>
    <row r="263" spans="5:26" ht="12.75">
      <c r="E263" s="4"/>
      <c r="U263" s="1"/>
      <c r="V263" s="1"/>
      <c r="W263" s="1"/>
      <c r="X263" s="1"/>
      <c r="Y263" s="1"/>
      <c r="Z263" s="1"/>
    </row>
    <row r="264" spans="5:26" ht="12.75">
      <c r="E264" s="4"/>
      <c r="U264" s="1"/>
      <c r="V264" s="1"/>
      <c r="W264" s="1"/>
      <c r="X264" s="1"/>
      <c r="Y264" s="1"/>
      <c r="Z264" s="1"/>
    </row>
    <row r="265" spans="5:26" ht="12.75">
      <c r="E265" s="4"/>
      <c r="U265" s="1"/>
      <c r="V265" s="1"/>
      <c r="W265" s="1"/>
      <c r="X265" s="1"/>
      <c r="Y265" s="1"/>
      <c r="Z265" s="1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</sheetData>
  <sheetProtection/>
  <autoFilter ref="A11:Z220"/>
  <mergeCells count="19">
    <mergeCell ref="A6:Z6"/>
    <mergeCell ref="A7:Z7"/>
    <mergeCell ref="A9:A10"/>
    <mergeCell ref="B9:B10"/>
    <mergeCell ref="E9:E10"/>
    <mergeCell ref="H9:H10"/>
    <mergeCell ref="G9:G10"/>
    <mergeCell ref="M9:N9"/>
    <mergeCell ref="I9:J9"/>
    <mergeCell ref="K9:L9"/>
    <mergeCell ref="U9:V9"/>
    <mergeCell ref="W9:X9"/>
    <mergeCell ref="Y9:Z9"/>
    <mergeCell ref="C9:C10"/>
    <mergeCell ref="D9:D10"/>
    <mergeCell ref="F9:F10"/>
    <mergeCell ref="O9:P9"/>
    <mergeCell ref="Q9:R9"/>
    <mergeCell ref="S9:T9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2021-07-09T12:28:35Z</cp:lastPrinted>
  <dcterms:created xsi:type="dcterms:W3CDTF">2005-09-01T09:08:31Z</dcterms:created>
  <dcterms:modified xsi:type="dcterms:W3CDTF">2021-07-27T08:02:12Z</dcterms:modified>
  <cp:category/>
  <cp:version/>
  <cp:contentType/>
  <cp:contentStatus/>
</cp:coreProperties>
</file>