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528" windowWidth="15120" windowHeight="7536" activeTab="0"/>
  </bookViews>
  <sheets>
    <sheet name="БГД 334" sheetId="1" r:id="rId1"/>
  </sheets>
  <definedNames>
    <definedName name="_xlnm.Print_Titles" localSheetId="0">'БГД 334'!$4:$6</definedName>
    <definedName name="_xlnm.Print_Area" localSheetId="0">'БГД 334'!$A$1:$O$564</definedName>
  </definedNames>
  <calcPr fullCalcOnLoad="1"/>
</workbook>
</file>

<file path=xl/sharedStrings.xml><?xml version="1.0" encoding="utf-8"?>
<sst xmlns="http://schemas.openxmlformats.org/spreadsheetml/2006/main" count="1830" uniqueCount="629">
  <si>
    <t>Ответственный исполнитель, соисполнитель</t>
  </si>
  <si>
    <t>Всего, в том числе:</t>
  </si>
  <si>
    <t>управление культуры</t>
  </si>
  <si>
    <t>ЦБС</t>
  </si>
  <si>
    <t>БИХМ</t>
  </si>
  <si>
    <t>БДТ</t>
  </si>
  <si>
    <t>Бенефис</t>
  </si>
  <si>
    <t>ПКиО</t>
  </si>
  <si>
    <t>КДЦ</t>
  </si>
  <si>
    <t>ДМШ-1</t>
  </si>
  <si>
    <t>ДМШ-2</t>
  </si>
  <si>
    <t>ШТБ</t>
  </si>
  <si>
    <t>тыс.руб.</t>
  </si>
  <si>
    <t>Приобретение книг</t>
  </si>
  <si>
    <t>Приобретение противогазов</t>
  </si>
  <si>
    <t>2.1.2.2. Реализация противопожарных мероприятий</t>
  </si>
  <si>
    <t>2.1.2.3. Реализация антитеррористических мероприятий, обеспечение безопасности посетителей</t>
  </si>
  <si>
    <t>2.1.2.4. Обеспечение доступности учреждений дополнительного образования для людей с ограниченными возможностями здоровья</t>
  </si>
  <si>
    <t>местный бюджет</t>
  </si>
  <si>
    <t>МУ "Управление капитального строительства"</t>
  </si>
  <si>
    <t>МУ "Управление капитального строительства",</t>
  </si>
  <si>
    <t>Ремонт здания МАУК "БДТ"</t>
  </si>
  <si>
    <t>ДМШ 1</t>
  </si>
  <si>
    <t>Установка окон</t>
  </si>
  <si>
    <t>Здание ШТБ</t>
  </si>
  <si>
    <t>МУ УКС</t>
  </si>
  <si>
    <t>Устройство входной группы ЦГБ</t>
  </si>
  <si>
    <t>Ремонт крыльца в центральном здании музея и в филиале "Алконост"</t>
  </si>
  <si>
    <t>Замена входной группы центрального входа</t>
  </si>
  <si>
    <t>Предоставление услуги по показу концертов и концертных программ</t>
  </si>
  <si>
    <t>Предоставление услуги по показу спектаклей</t>
  </si>
  <si>
    <t>Выполнение работы по созданию спектаклей</t>
  </si>
  <si>
    <t>Предоставление услуги по публичному показу музейных предметов, музейных коллекций</t>
  </si>
  <si>
    <t>Предоставление услуги по библиотечному, библиографическому и информационному обслуживанию пользователей библиотеки</t>
  </si>
  <si>
    <t>Замена оконных блоков в центральной городской библиотеке</t>
  </si>
  <si>
    <t>Изготовление и установка металлического ограждения по периметру ЦГБ</t>
  </si>
  <si>
    <t>Монтаж и наладка охранной сигнализации РСПИ "Стрелец-мониторинг"</t>
  </si>
  <si>
    <t>Содержание (эксплуатация) имущества, находящегося в муниципальной собственности</t>
  </si>
  <si>
    <t>краевой бюджет</t>
  </si>
  <si>
    <t>Ремонт фасада в ЦДБ</t>
  </si>
  <si>
    <t>Ремонт крыльца в ЦДБ</t>
  </si>
  <si>
    <t>Проведение ремонтных работ пола в каб. №29</t>
  </si>
  <si>
    <t xml:space="preserve">разработка научно-проектной документации по реставрации чердачного перекрытия в Усадьбе кн. Голицыных </t>
  </si>
  <si>
    <t xml:space="preserve">работы по удалению и вывозу старовозростных, аварийных и пухонесущих деревьев, расположенных в зоне детских аттракционов МАУ МОК «Парк КиО» </t>
  </si>
  <si>
    <t>Ремонт кровли БДТ</t>
  </si>
  <si>
    <t>Основное мероприятие "Развитие инфраструктуры объектов муниципальной собственности"</t>
  </si>
  <si>
    <t>Реконструкция нежилого здания под размещение МБОУ ДО ДШИ "Школа-театр балета"</t>
  </si>
  <si>
    <t>Электромонтажные работы в библиотеке №7</t>
  </si>
  <si>
    <t>Ремонт системы освещения</t>
  </si>
  <si>
    <t>Ремонт по замене стояков отопления на калорифер системы вентиляции в здании филиала</t>
  </si>
  <si>
    <t>Установка поручней на крыльце запасного выхода здания филиала</t>
  </si>
  <si>
    <t>Монтаж системы видеонаблюдения</t>
  </si>
  <si>
    <t>Монтаж оборудования охранной сигнализации</t>
  </si>
  <si>
    <t>Проектные работы по монтажу АПС</t>
  </si>
  <si>
    <t>Обработка планшета сцены, колосников противопож. Пропиткой</t>
  </si>
  <si>
    <t xml:space="preserve">Рз, 
Пр
</t>
  </si>
  <si>
    <t>0801</t>
  </si>
  <si>
    <t>03 1 01 10010</t>
  </si>
  <si>
    <t>2.2.</t>
  </si>
  <si>
    <t xml:space="preserve">Мероприятия, обеспечивающие функционирование 
и развитие учреждений
</t>
  </si>
  <si>
    <t>03 1 02 00000</t>
  </si>
  <si>
    <t>03 1 02 24000</t>
  </si>
  <si>
    <t>2.2.1.1</t>
  </si>
  <si>
    <t>Проведение ремонтных, реставрационных работ  на объектах культурного наследия</t>
  </si>
  <si>
    <t xml:space="preserve"> Проведение ремонтных работ зданий и помещений учреждений культуры</t>
  </si>
  <si>
    <t xml:space="preserve">Замена оконных блоков в реставрационной мастерской, Советский,10 </t>
  </si>
  <si>
    <t>Ремонт помещений, для продолжения исторической экспозиции</t>
  </si>
  <si>
    <t>Ремонт мягкой кровли в библиотеке №3</t>
  </si>
  <si>
    <t>Устройство универсальных кабин для инвалидов</t>
  </si>
  <si>
    <t>Парк</t>
  </si>
  <si>
    <t>Замена ворот, отделка внутри помещения тира, замена пандуса с учетом для доступности ММГН</t>
  </si>
  <si>
    <t>Устройство козырька, пандуса в здании зала игровых автоматов с учетом доступности для ММГН</t>
  </si>
  <si>
    <t>Ремнот помещения аттракциона "Комната смеха"</t>
  </si>
  <si>
    <t>2.2.1.1.1</t>
  </si>
  <si>
    <t>2.2.1.1.2</t>
  </si>
  <si>
    <t>2.2.1.1.3</t>
  </si>
  <si>
    <t>2.2.1.1.4</t>
  </si>
  <si>
    <t>2.2.1.1.5</t>
  </si>
  <si>
    <t>2.2.1.1.6</t>
  </si>
  <si>
    <t>2.2.1.1.14</t>
  </si>
  <si>
    <t>2.2.1.1.15</t>
  </si>
  <si>
    <t>Реализация противопожарных мероприятий</t>
  </si>
  <si>
    <t>2.2.1.2</t>
  </si>
  <si>
    <t>2.2.1.3</t>
  </si>
  <si>
    <t>Оснащение учреждений современным оборудованием и музыкальными инструментами</t>
  </si>
  <si>
    <t>Приобретение стола складного</t>
  </si>
  <si>
    <t>Приобретение МФУ</t>
  </si>
  <si>
    <t>Приобретение стульев</t>
  </si>
  <si>
    <t>Приобретение кресел</t>
  </si>
  <si>
    <t>Приобретение сканера</t>
  </si>
  <si>
    <t>Замена кабинок аттракциона "Колесо обзора"</t>
  </si>
  <si>
    <t>2.2.1.3.1</t>
  </si>
  <si>
    <t>2.2.1.3.2</t>
  </si>
  <si>
    <t>2.2.1.3.3</t>
  </si>
  <si>
    <t>2.2.1.3.4</t>
  </si>
  <si>
    <t>2.2.1.3.5</t>
  </si>
  <si>
    <t>2.2.1.3.6</t>
  </si>
  <si>
    <t>2.2.1.3.7</t>
  </si>
  <si>
    <t>Комплектование библиотечных фондов</t>
  </si>
  <si>
    <t>2.2.1.5</t>
  </si>
  <si>
    <t>Арендная плата за квартиры</t>
  </si>
  <si>
    <t>2.2.1.5.1</t>
  </si>
  <si>
    <t>Приобретение палатки-тент</t>
  </si>
  <si>
    <t>Завершение реставрации чердачного перекрытия Усадьбы кн.Голициных</t>
  </si>
  <si>
    <t>2.2.1.1.16</t>
  </si>
  <si>
    <t>Оборудование для хранения музейных предметов</t>
  </si>
  <si>
    <t>Оборудование для нового выставочного зала</t>
  </si>
  <si>
    <t>2.2.1.3.8</t>
  </si>
  <si>
    <t>2.2.1.3.9</t>
  </si>
  <si>
    <t>03 1 04 00000</t>
  </si>
  <si>
    <t>03 1 04 22100</t>
  </si>
  <si>
    <t>2.3.1.1</t>
  </si>
  <si>
    <t>2.3.1.1.1</t>
  </si>
  <si>
    <t>03 1 05 00000</t>
  </si>
  <si>
    <t>Приспособление объекта культурного наследия регионального значения «Кинотеатр «Авангард» 
для современного использования (культурно-деловой центр)</t>
  </si>
  <si>
    <t>03 1 05 44060</t>
  </si>
  <si>
    <t>03 1 00 00000</t>
  </si>
  <si>
    <t>3</t>
  </si>
  <si>
    <t>03 2 01 00000</t>
  </si>
  <si>
    <t>0703</t>
  </si>
  <si>
    <t>ДШИ</t>
  </si>
  <si>
    <t>03 2 02 00000</t>
  </si>
  <si>
    <t>03 2 02 24000</t>
  </si>
  <si>
    <t>3.2.1.1</t>
  </si>
  <si>
    <t>3.2.1.2</t>
  </si>
  <si>
    <t>3.2.2.1</t>
  </si>
  <si>
    <t>Приобретение музыкальных инструментов (виолончели, синтезатор)</t>
  </si>
  <si>
    <t>03 2 03 00000</t>
  </si>
  <si>
    <t>3.3.</t>
  </si>
  <si>
    <t>03 2 03 44480</t>
  </si>
  <si>
    <t>03 2 00 00000</t>
  </si>
  <si>
    <t>4</t>
  </si>
  <si>
    <t>03 3 00 00000</t>
  </si>
  <si>
    <t>0703, 0801</t>
  </si>
  <si>
    <t>Основное мероприятие «Организация и проведение мероприятий в сфере культуры»</t>
  </si>
  <si>
    <t>03 3 01 00000</t>
  </si>
  <si>
    <t>0703,  0801</t>
  </si>
  <si>
    <t>03 3 01 22200</t>
  </si>
  <si>
    <t>4.1.1.1</t>
  </si>
  <si>
    <t>учреждения культуры</t>
  </si>
  <si>
    <t>Подпрограмма 4 «Муниципальная система управления культурой»</t>
  </si>
  <si>
    <t>03 4 00 00000</t>
  </si>
  <si>
    <t>0707, 0804, 1003</t>
  </si>
  <si>
    <t>1003</t>
  </si>
  <si>
    <t>03 4 01 00000</t>
  </si>
  <si>
    <t>0804</t>
  </si>
  <si>
    <t>03 4 01 00020</t>
  </si>
  <si>
    <t>03 4 02 00000</t>
  </si>
  <si>
    <t>0707</t>
  </si>
  <si>
    <t>03 4 02 22500</t>
  </si>
  <si>
    <t>Основное мероприятие «Меры социальной поддержки работников культуры»</t>
  </si>
  <si>
    <t>03 4 03 00000</t>
  </si>
  <si>
    <t>Управление культуры 
ВСЕГО, 
в том числе</t>
  </si>
  <si>
    <t>Ремонт помещений</t>
  </si>
  <si>
    <t>2.2.1.1.17</t>
  </si>
  <si>
    <t>2.2.1.1.18</t>
  </si>
  <si>
    <t>2.2.1.1.19</t>
  </si>
  <si>
    <t>УМБ</t>
  </si>
  <si>
    <t>Усолье Строгановское</t>
  </si>
  <si>
    <t>Усольский ДК</t>
  </si>
  <si>
    <t>Романовский ИДЦ</t>
  </si>
  <si>
    <t xml:space="preserve">Мероприятие 
Подготовка специалистов с высшим образованием </t>
  </si>
  <si>
    <t>2.2.1.6</t>
  </si>
  <si>
    <t>Обучение студентов</t>
  </si>
  <si>
    <t>2.2.1.6.1</t>
  </si>
  <si>
    <t>2.2.1.2.1</t>
  </si>
  <si>
    <t>Обработка чердачных деревянных конструкций огнезащитным составом</t>
  </si>
  <si>
    <t>Установка внутренней и наружной системы видеонаблюдения (Дом Брагина)</t>
  </si>
  <si>
    <t>Ремонт систем отопления, установка доп. радиаторов</t>
  </si>
  <si>
    <t>2.2.1.1.20</t>
  </si>
  <si>
    <t>2.2.1.1.21</t>
  </si>
  <si>
    <t>3.2.2.2</t>
  </si>
  <si>
    <t>Проведение городских мероприятий по г.Березники</t>
  </si>
  <si>
    <t>4.1.1.2</t>
  </si>
  <si>
    <t>Проведение городских мероприятий по УМР</t>
  </si>
  <si>
    <t>Капитальный ремонт "Дома культуры" в с. Пыскор</t>
  </si>
  <si>
    <t>Разработка ПСД</t>
  </si>
  <si>
    <t>2.4.2.1</t>
  </si>
  <si>
    <t>2.4.2.2</t>
  </si>
  <si>
    <t>2.4.3.1</t>
  </si>
  <si>
    <t>2.4.3.2</t>
  </si>
  <si>
    <t xml:space="preserve">Капитальный ремонт </t>
  </si>
  <si>
    <t>2.2.1.3.10</t>
  </si>
  <si>
    <t>Капитальный ремонт МКУК "Усольский Дом культуры"</t>
  </si>
  <si>
    <t>Выполнение работы по организации клубных формирований и формирований самодеятельного народного творчества</t>
  </si>
  <si>
    <t xml:space="preserve">Приобретение музыкальных инструментов </t>
  </si>
  <si>
    <t>Поддержка творческой деятельности 
и укрепление материально-технической базы муниципальных театров в населенных пунктах 
с численностью населения до 300 тысяч человек</t>
  </si>
  <si>
    <t>разработка проекта на капитальный ремонт противопожарных лестниц, монтаж системы контроля и управления доступом</t>
  </si>
  <si>
    <t>03 4 03 2C180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</si>
  <si>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    </t>
  </si>
  <si>
    <t>03 2 03 SP040</t>
  </si>
  <si>
    <t xml:space="preserve">Муниципальное автономное учреждение культуры «Усольский историко-архитектурный музей-заповедник «Усолье Строгановское» </t>
  </si>
  <si>
    <t>МАУК «БДТ»</t>
  </si>
  <si>
    <t>Реализация программ развития преобразования муниципальных образований</t>
  </si>
  <si>
    <t>03 1 02 SP180</t>
  </si>
  <si>
    <t>2.4.8.2</t>
  </si>
  <si>
    <t>03 1 05 SP180</t>
  </si>
  <si>
    <t>Установка системы автоматического пожаротушения</t>
  </si>
  <si>
    <t>Электроснабжение системы автоматического пожаротушения</t>
  </si>
  <si>
    <t>Комплексное обследование технического состояния несущих конструкций коммуникаций для обустройства малой сцены</t>
  </si>
  <si>
    <t>2.2.1.1.22</t>
  </si>
  <si>
    <t>2.2.1.1.23</t>
  </si>
  <si>
    <t>2.2.1.1.24</t>
  </si>
  <si>
    <t>Разработка дизайн-проекта экспозиции "Музей техники под открытым небом"</t>
  </si>
  <si>
    <t>2.2.1.1.25</t>
  </si>
  <si>
    <t>Реставрация конструкций чердачного помещения в Усадьбе кн.Голицыных и осуществление авторского надзора</t>
  </si>
  <si>
    <t>2.2.1.1.26</t>
  </si>
  <si>
    <t>Обследование технического состояния кровли крыши здания</t>
  </si>
  <si>
    <t>ЦД</t>
  </si>
  <si>
    <t>2.2.1.1.27</t>
  </si>
  <si>
    <t>Замена входной группы дверей</t>
  </si>
  <si>
    <t>2.2.1.1.28</t>
  </si>
  <si>
    <t>2.2.1.1.29</t>
  </si>
  <si>
    <t>2.2.1.2.2</t>
  </si>
  <si>
    <t>Установка противопожарных дверей</t>
  </si>
  <si>
    <t>УДК</t>
  </si>
  <si>
    <t>Неисключительные права на использование Автоматизированной информационно-библиотечной системы</t>
  </si>
  <si>
    <t>2.2.1.3.11</t>
  </si>
  <si>
    <t>Приобретение онлайн-кассы</t>
  </si>
  <si>
    <t>Текущий ремонт звукоизоляции классов</t>
  </si>
  <si>
    <t>Ремонт спуска в подвал</t>
  </si>
  <si>
    <t>ЦСР</t>
  </si>
  <si>
    <t>Наименование муниципальной программы, подпрограммы,  основного мероприятия,мероприятия</t>
  </si>
  <si>
    <t>В том числе по годам реализации</t>
  </si>
  <si>
    <t>Управление культуры администрации города Березники (далее -Управление культуры)</t>
  </si>
  <si>
    <t>Управление культуры</t>
  </si>
  <si>
    <t>МКУ «УКС»</t>
  </si>
  <si>
    <t>Муниципальное автономное учреждение культуры «Березниковский драматический театр» (далее – МАУК «БДТ»)</t>
  </si>
  <si>
    <t>Управление культуры, местный бюджет</t>
  </si>
  <si>
    <t>МКУ «УКС», местный бюджет</t>
  </si>
  <si>
    <t>МКУ «УКС», краевой бюджет</t>
  </si>
  <si>
    <t xml:space="preserve">Муниципальное автономное учреждение культуры «Усольский историко-архитектурный музей «Палаты Строгановых» </t>
  </si>
  <si>
    <t xml:space="preserve">Муниципальное автономное учреждение муниципальная организация культуры «Парк культуры 
и отдыха»
</t>
  </si>
  <si>
    <t>Муниципальное автономное учреждение культуры  «Центр досуга»</t>
  </si>
  <si>
    <t>Муниципальное автономное учреждение «Сельский Дом культуры Троицкого сельского поселения»</t>
  </si>
  <si>
    <t>Муниципальное автономное учреждение культуры «Усольский Дом культуры» (далее - МАУК «УДК»)</t>
  </si>
  <si>
    <t>Муниципальное автономное учреждение культуры «Романовский информационно-досуговый центр»</t>
  </si>
  <si>
    <t>МАУ «КДЦ г.Березники»</t>
  </si>
  <si>
    <t>МАУК «ЦБС»</t>
  </si>
  <si>
    <t>МАУК «УМБ»</t>
  </si>
  <si>
    <t>Капитальный ремонт  МАУК «ПДК»</t>
  </si>
  <si>
    <t>Содержание здания памятника регионального значения «Кинотеатр «Авангард»</t>
  </si>
  <si>
    <t>Приобретение и установка мобильного здания «Сельская библиотека»с.Верх-Кондас, с.Ощепково</t>
  </si>
  <si>
    <t>Строительство «Сельского Дома культуры» на 100 мест в с.Березовка</t>
  </si>
  <si>
    <t>Всего, в том числе</t>
  </si>
  <si>
    <t xml:space="preserve">Приобретение и установка мобильного здания «Сельский центр культуры и досуга» в п.Шемейный, с.Щекино, д.Лысьва </t>
  </si>
  <si>
    <t>1.</t>
  </si>
  <si>
    <t>2.</t>
  </si>
  <si>
    <t>2.1.</t>
  </si>
  <si>
    <t>2.1.2.</t>
  </si>
  <si>
    <t>2.2.1.</t>
  </si>
  <si>
    <t>2.3.</t>
  </si>
  <si>
    <t>2.3.1.</t>
  </si>
  <si>
    <t>2.4.</t>
  </si>
  <si>
    <t>2.4.1.</t>
  </si>
  <si>
    <t>2.4.2.</t>
  </si>
  <si>
    <t>2.4.3.</t>
  </si>
  <si>
    <t>2.4.4.</t>
  </si>
  <si>
    <t>2.4.5.</t>
  </si>
  <si>
    <t>2.4.7.</t>
  </si>
  <si>
    <t>3.</t>
  </si>
  <si>
    <t>3.1.</t>
  </si>
  <si>
    <t>3.1.1.</t>
  </si>
  <si>
    <t>3.2.</t>
  </si>
  <si>
    <t>3.2.1.</t>
  </si>
  <si>
    <t>3.3.1.</t>
  </si>
  <si>
    <t>3.3.2.</t>
  </si>
  <si>
    <t>4.</t>
  </si>
  <si>
    <t>4.1.</t>
  </si>
  <si>
    <t>4.1.1.</t>
  </si>
  <si>
    <t>5.</t>
  </si>
  <si>
    <t>5.1.</t>
  </si>
  <si>
    <t>5.1.1.</t>
  </si>
  <si>
    <t>5.2.</t>
  </si>
  <si>
    <t>5.2.1.</t>
  </si>
  <si>
    <t>5.3.</t>
  </si>
  <si>
    <t>5.3.1.</t>
  </si>
  <si>
    <t>5.3.2.</t>
  </si>
  <si>
    <t>Работы в рамках программы "Доступная среда"</t>
  </si>
  <si>
    <t>Проектные работы по благоустройству асфальтового покрытия и установка пандуса для проезда в цокольный этаж здания (Доступная среда)</t>
  </si>
  <si>
    <t>Тактильные пиктограммы, комплексная тактильная табличка, система вызова персонала (Доступная среда)</t>
  </si>
  <si>
    <t>03 1 02 R5190</t>
  </si>
  <si>
    <t>федеральный бюджет</t>
  </si>
  <si>
    <t>2.2.1.1.30</t>
  </si>
  <si>
    <t xml:space="preserve">на поставку , доставку и монтаж 20 кабин для аттракциона "Колесо обозрения" </t>
  </si>
  <si>
    <t>на реализацию проекта восстановление и развитие историко-архитектурного комплекса "Усолье Строгановское"</t>
  </si>
  <si>
    <t>2.2.1.1.31</t>
  </si>
  <si>
    <t>ремонт кабинетов</t>
  </si>
  <si>
    <t>2.2.1.1.32</t>
  </si>
  <si>
    <t>03 1 01 L4660</t>
  </si>
  <si>
    <t>03 4 02 2С140</t>
  </si>
  <si>
    <t>2.2.1.1.</t>
  </si>
  <si>
    <t>2.2.1.3.</t>
  </si>
  <si>
    <t>2.2.1.1.33</t>
  </si>
  <si>
    <t>выполнение научно-исследовательской работы по разработке "Концепция развития территории (Мастер-плана) Усольского историко-архитектурного комплекса"</t>
  </si>
  <si>
    <t>в том числе краевой бюджет</t>
  </si>
  <si>
    <t xml:space="preserve">Приобретение и установка мобильного здания «Сельская библиотека» </t>
  </si>
  <si>
    <t xml:space="preserve">Приобретение и установка мобильного здания «Сельский центр культуры и досуга» </t>
  </si>
  <si>
    <t>03 4 01 R5500</t>
  </si>
  <si>
    <t>5.1.2.</t>
  </si>
  <si>
    <t>УКС</t>
  </si>
  <si>
    <t>проведение экспертизы на испытание устойчивости конструкции "Дерево рода"</t>
  </si>
  <si>
    <t>4.1.1.3.</t>
  </si>
  <si>
    <t>Установка мемориальной доски</t>
  </si>
  <si>
    <t>выполнение комплексного обследования технического состояния здания</t>
  </si>
  <si>
    <t xml:space="preserve">монтаж системы АПС и СОУЭ </t>
  </si>
  <si>
    <t>Приобретение оградительных барьеров</t>
  </si>
  <si>
    <t>Приобретение металорамки</t>
  </si>
  <si>
    <t>Приобретение газовых котлов</t>
  </si>
  <si>
    <t>установка ограждения (перила)</t>
  </si>
  <si>
    <t>поставка и монтаж оборудования охранной сигнализации</t>
  </si>
  <si>
    <t xml:space="preserve">установка электронной проходной </t>
  </si>
  <si>
    <t>Монтаж системы видеонаблюдения в библиотеке №3,5,6,11</t>
  </si>
  <si>
    <t>проверка экспертного заключения и написания рецензии по иску ООО "Пермстроймет+"</t>
  </si>
  <si>
    <t>на проведение судебной строительно-технической экспертизы по арт-объекту «Дерево рода»</t>
  </si>
  <si>
    <t>2.2.1.2.</t>
  </si>
  <si>
    <t>2.4.5.1.</t>
  </si>
  <si>
    <t>ремонт помещений, ремонт системы электроснабжения, ремонт центрального входа библиотека №3: читальный зал, абонемент, книгохранилище (4,5,6,7,8,9)</t>
  </si>
  <si>
    <t>Приобретение витрины, стенда, стеллажей, мебели</t>
  </si>
  <si>
    <t xml:space="preserve"> ремонт крыльца запасного выхода</t>
  </si>
  <si>
    <t>замена кабеля</t>
  </si>
  <si>
    <t>ремонт охранно-пожарной сигнализации</t>
  </si>
  <si>
    <t>установка видеонаблюдения (Ленина 43, Сов.Проспект, 20)</t>
  </si>
  <si>
    <t>разработка научной и художественной концепции новой экспозиции в зданииУсадьба Голициных</t>
  </si>
  <si>
    <t>оборудование для хранения музейных предметов</t>
  </si>
  <si>
    <t>перенос пандуса Усадьба Голициных</t>
  </si>
  <si>
    <t>свитильник светодиодные в художественную галерею</t>
  </si>
  <si>
    <t>памятная доска</t>
  </si>
  <si>
    <t>кошение газонов</t>
  </si>
  <si>
    <t>организация работы проектного офиса «Усолье Строгановское»</t>
  </si>
  <si>
    <t xml:space="preserve">устройство велосипедных парковок по плану мероприятий туристического развития историко-архитектурного комплекса "Усолье Строгановское")
</t>
  </si>
  <si>
    <t>бензинованя электростанция</t>
  </si>
  <si>
    <t>работ по реконструкции крыльца и пандуса главного входа здания МАУК «БДТ»</t>
  </si>
  <si>
    <t>автоматизация дренчарной установки водянного пожаротушения</t>
  </si>
  <si>
    <t>Приобретение основных средств</t>
  </si>
  <si>
    <t>Оборудование для маломобильных групп</t>
  </si>
  <si>
    <t>замена ограждений для аттракционов</t>
  </si>
  <si>
    <t>замена пассажирских модулей аттракциона "Червячок"</t>
  </si>
  <si>
    <t>замена пассажирских модулей аттракциона "Колокольчик"</t>
  </si>
  <si>
    <t>Организация физической охраны для обепечения правопорядка парка</t>
  </si>
  <si>
    <t>Удаление деревьев в парке</t>
  </si>
  <si>
    <t>Выносная пожарная лестница (ПДК)</t>
  </si>
  <si>
    <t>техническая документация на здание Пыскорский дом культуры</t>
  </si>
  <si>
    <t>установка теплосчетчика ПДК</t>
  </si>
  <si>
    <t>установка водосчетчика ПДК</t>
  </si>
  <si>
    <t>проектные работы на капитальный ремонт кровли здания ЦД</t>
  </si>
  <si>
    <t>Приобретение огнетушителей</t>
  </si>
  <si>
    <t>монтаж пожарной сигнализации п.Орел</t>
  </si>
  <si>
    <t>проектные работы; кадастровые работы; техническая инвентаризация</t>
  </si>
  <si>
    <t>ремонт запасного выхода</t>
  </si>
  <si>
    <t>Реализация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</t>
  </si>
  <si>
    <t>03 1 05 SP040</t>
  </si>
  <si>
    <t>3.2.2.3</t>
  </si>
  <si>
    <t>3.2.2.4</t>
  </si>
  <si>
    <t xml:space="preserve">МБУДО «ДМШ 1 им.П.И.Чайковского" </t>
  </si>
  <si>
    <t>Муниципальное бюджетное учреждение дополнительного образования «Детская школа искусств» (далее - МБУДО «Детская школа искусств»)</t>
  </si>
  <si>
    <t>МБУДО «Детская школа искусств»</t>
  </si>
  <si>
    <t>Приобретение учебных пособий, книг</t>
  </si>
  <si>
    <t>1003, 0804, 0707</t>
  </si>
  <si>
    <t>03 4 03 SC240</t>
  </si>
  <si>
    <t>03 1 01 00000</t>
  </si>
  <si>
    <t>03 1 05 44320</t>
  </si>
  <si>
    <t>03 1 05 44340</t>
  </si>
  <si>
    <t>03 1 05 44330</t>
  </si>
  <si>
    <t>2.2.1.4.</t>
  </si>
  <si>
    <t>2.2.1.6.</t>
  </si>
  <si>
    <t>Муниципальное автономное учреждение культуры «Усольский дом народного творчества» (далее - МАУК «УДНТ»)</t>
  </si>
  <si>
    <t>2.2.1.7.</t>
  </si>
  <si>
    <t>Работы по устройству и электроснабжению системы автоматического пожаротушения МАУК "БДТ" "Дренчерная установка водяного пожаротушения под колосниками сцены и во всех проемах сцены, спринклерная установка водяного пожаротушения в складских помещениях, в покрытии и трюме сцены</t>
  </si>
  <si>
    <t>Выполнение комплексного обследования технического состояния здания МАУК "УДК"</t>
  </si>
  <si>
    <t>Замена утепленных дверных блоков п.Орел, ул.1 Мая, 37</t>
  </si>
  <si>
    <t>Разработка дизайн проектов</t>
  </si>
  <si>
    <t>Проведение ремонтных  работ в библиотеках</t>
  </si>
  <si>
    <t>Создание модельных муниципальных библиотек</t>
  </si>
  <si>
    <t>03 1 02 2К170</t>
  </si>
  <si>
    <t xml:space="preserve">проведение технической инвентаризации </t>
  </si>
  <si>
    <t>ремонт уличной  лестницы</t>
  </si>
  <si>
    <t>проектные работы на выполнение комплексного обследования технического состояния здания</t>
  </si>
  <si>
    <t>Приобретение медицинского оборудования</t>
  </si>
  <si>
    <t>Взыскание задолженности по исп.листу по чердачному перекрытию</t>
  </si>
  <si>
    <t>переделку системы дымоудаления для улучшения тяги в котельной Орлинского Дома культуры</t>
  </si>
  <si>
    <t>разработку проектно-сметной документации запасного эвакуационного выхода (лестницы со второго этажа) Орлинского Дома культуры</t>
  </si>
  <si>
    <t>Установка противопожарной двери</t>
  </si>
  <si>
    <t xml:space="preserve">ремонт опалубки крыльца Усольской городской библиотеки </t>
  </si>
  <si>
    <t>ремонт санузла для маломобильных групп населения  в Библиотеке № 3</t>
  </si>
  <si>
    <t>устройство пандуса главного входа крыльца Библиотеки № 3</t>
  </si>
  <si>
    <t>ремонт крыльца, ступенек в Библиотеке № 8 п.Железнодорожный</t>
  </si>
  <si>
    <t>Приобретение мебели,орг.технки</t>
  </si>
  <si>
    <t xml:space="preserve">ремонт ворот и дорожки </t>
  </si>
  <si>
    <t xml:space="preserve">установку привода на ворота </t>
  </si>
  <si>
    <t>ремонт входных дверей</t>
  </si>
  <si>
    <t>МКУ «УКС» краевой бюджет</t>
  </si>
  <si>
    <t>МКУ «УКС» местный бюджет</t>
  </si>
  <si>
    <t>МКУ «УКС» федеральный бюджет</t>
  </si>
  <si>
    <t>03 2 01 11010</t>
  </si>
  <si>
    <t>2.4.6.</t>
  </si>
  <si>
    <t>Реализация программ развития преобразованных муниципальных образований</t>
  </si>
  <si>
    <t>2.4.6.1.</t>
  </si>
  <si>
    <t xml:space="preserve">Всего, в том числе Управление культуры, </t>
  </si>
  <si>
    <t>2.2.1.1.1.</t>
  </si>
  <si>
    <t>Управление культуры, всего, в том числе</t>
  </si>
  <si>
    <t>2.2.4.</t>
  </si>
  <si>
    <t>2.2.5.5.</t>
  </si>
  <si>
    <t>2.2.5.6.</t>
  </si>
  <si>
    <t>2.2.5.7.</t>
  </si>
  <si>
    <t>2.2.5.8.</t>
  </si>
  <si>
    <t>2.2.5.9.</t>
  </si>
  <si>
    <t>Управление культуры, краевой бюджет</t>
  </si>
  <si>
    <t xml:space="preserve">УДНТ ремонт помещений </t>
  </si>
  <si>
    <t>КБ</t>
  </si>
  <si>
    <t>Ремонт объектов  МАУК «УДНТ»</t>
  </si>
  <si>
    <t>Подпрограмма 3 «Формирование положительного имиджа муниципального образования»</t>
  </si>
  <si>
    <t xml:space="preserve">   03 1 05 SP040</t>
  </si>
  <si>
    <t xml:space="preserve">  03 1 05 SP040</t>
  </si>
  <si>
    <t>2.2.5.</t>
  </si>
  <si>
    <t>Подпрограмма 1 «Сохранение и развитие культурного потенциала муниципального образования»</t>
  </si>
  <si>
    <t>Обеспечение деятельности (оказание услуг, выполнение работ) муниципальных учреждений (организаций)</t>
  </si>
  <si>
    <t>03 1 05 44220</t>
  </si>
  <si>
    <t>03 1 05 44350</t>
  </si>
  <si>
    <t>Ремонт входной группы</t>
  </si>
  <si>
    <t>2.4.7.1.</t>
  </si>
  <si>
    <t>3.2.1.1.</t>
  </si>
  <si>
    <t>Поощрение за достижение показателей деятельности управленческих команд</t>
  </si>
  <si>
    <t>03 4 01 5549F</t>
  </si>
  <si>
    <t>5.1.3.</t>
  </si>
  <si>
    <t>авторский надзор за выполнением работ по реставрации конструкций чердачного перекрытия в Усадьбе Голицыных</t>
  </si>
  <si>
    <t>разработка художественной концепции новой экспозиции в музейном пространстве</t>
  </si>
  <si>
    <t>замеры и изготовление технической документации по двум объектам</t>
  </si>
  <si>
    <t>ремонт кровли в г.Усолье</t>
  </si>
  <si>
    <t>автоматизация дренчарной установки  пожаротушения</t>
  </si>
  <si>
    <t>замена и электромонтажные работы при замене задвижки на обводной линии узла учета хоз-питьевого водопровода</t>
  </si>
  <si>
    <t>Инженерные изыскания и разработка научно-проектной документации на реставрацию: "Усадьба Голицыных" (3394,7 тыс. руб.); "Дом Строгановых" (4652,2 тыс. руб.)</t>
  </si>
  <si>
    <t>03 1 02 L4670,     03 1 02 24670</t>
  </si>
  <si>
    <t>Управление культуры 
всего,
в том числе</t>
  </si>
  <si>
    <t>ремонт дома культуры в с. Березовка, ул.Молодежная, 35.</t>
  </si>
  <si>
    <t>устройство системы видеонаблюдения на территории историко-архитектурного комплекса "Усолье Строгановское".</t>
  </si>
  <si>
    <t>разработка научно-проектной документации и проектно-сметной документации по мероприятию "Благоустройство в г. Усолье - старый город"</t>
  </si>
  <si>
    <t>УООСиП</t>
  </si>
  <si>
    <t>УООСиП, местный бюджет</t>
  </si>
  <si>
    <t>2.1.1.1.</t>
  </si>
  <si>
    <t>2.1.1.2.</t>
  </si>
  <si>
    <t>2.1.1.3.</t>
  </si>
  <si>
    <t>2.1.1.4.</t>
  </si>
  <si>
    <t>2.1.1.5.</t>
  </si>
  <si>
    <t>2.1.1.6.</t>
  </si>
  <si>
    <t>2.1.1.7.</t>
  </si>
  <si>
    <t>2.1.1.8.</t>
  </si>
  <si>
    <t>2.2.1.5.</t>
  </si>
  <si>
    <t>2.5.</t>
  </si>
  <si>
    <t>03 1 А2 00000</t>
  </si>
  <si>
    <t>Управление культуры, федеральный бюджет</t>
  </si>
  <si>
    <t>Государственная поддержка отрасли культуры</t>
  </si>
  <si>
    <t>03 1 А3 00000</t>
  </si>
  <si>
    <t>Иные межбюджетные трансферты на создание виртуальных концертных залов</t>
  </si>
  <si>
    <t>03 1 А3 54530</t>
  </si>
  <si>
    <t>2.6.</t>
  </si>
  <si>
    <t>2.6.1.</t>
  </si>
  <si>
    <t>2.2.5.2.</t>
  </si>
  <si>
    <t>2.2.5.1.</t>
  </si>
  <si>
    <t>2.2.5.3.</t>
  </si>
  <si>
    <t>2.2.5.4.</t>
  </si>
  <si>
    <t>2.5.1.</t>
  </si>
  <si>
    <t xml:space="preserve">«Сохранение 
и популяризация историко-культурного наследия муниципального образования»
 </t>
  </si>
  <si>
    <t>Мероприятия, обеспечивающие функционирование и развитие учреждений</t>
  </si>
  <si>
    <t>3.1.2.</t>
  </si>
  <si>
    <t>03 2 01 2Н440</t>
  </si>
  <si>
    <t>Основное мероприятие  «Обеспечение деятельности муниципальных органов»</t>
  </si>
  <si>
    <t>03 1 А1 54540</t>
  </si>
  <si>
    <t>03 1 02 2К170,          03 1 А1 54540</t>
  </si>
  <si>
    <t xml:space="preserve">03 1 02 00000, </t>
  </si>
  <si>
    <t>2.7.</t>
  </si>
  <si>
    <t>Иные межбюджетные трансферты на создание модельных муниципальных библиотек</t>
  </si>
  <si>
    <t>2.7.1.</t>
  </si>
  <si>
    <t>03 1 05 44130</t>
  </si>
  <si>
    <t xml:space="preserve">ремонт помещ 5-го этажа Свердлова (смета) </t>
  </si>
  <si>
    <t xml:space="preserve">компьютеры </t>
  </si>
  <si>
    <t>Основное мероприятие  «Сохранение и развитие учреждений (организаций)»</t>
  </si>
  <si>
    <t>Основное мероприятие  «Развитие инфраструктуры объектов муниципальной собственности»</t>
  </si>
  <si>
    <t>Строительство нового здания для МБУДО «ШТБ»</t>
  </si>
  <si>
    <t>Основное мероприятие  «Поддержка развития системы художественного образования»</t>
  </si>
  <si>
    <t>03 1 А1 00000</t>
  </si>
  <si>
    <t>03.2.A1.55194</t>
  </si>
  <si>
    <t>03 2 А1 00000</t>
  </si>
  <si>
    <t>3.4.</t>
  </si>
  <si>
    <t>3.4.1.</t>
  </si>
  <si>
    <t>Основное мероприятие  «Сохранение объектов культурного наследия»</t>
  </si>
  <si>
    <t xml:space="preserve">03 2 03 44480,      </t>
  </si>
  <si>
    <t xml:space="preserve">     03 2 03 44050</t>
  </si>
  <si>
    <t xml:space="preserve">      03 2 03 44050</t>
  </si>
  <si>
    <t>03 3 01 28051</t>
  </si>
  <si>
    <t xml:space="preserve"> 0801</t>
  </si>
  <si>
    <t>4.1.3.</t>
  </si>
  <si>
    <t>4.1.2.</t>
  </si>
  <si>
    <t>03 3 01 28052</t>
  </si>
  <si>
    <t>4.1.4.</t>
  </si>
  <si>
    <t>03 3 01 28053</t>
  </si>
  <si>
    <t>4.1.5.</t>
  </si>
  <si>
    <t>03 3 01 28054</t>
  </si>
  <si>
    <t>03 3 01 28055</t>
  </si>
  <si>
    <t>Муниципальное бюджетное учреждение культуры «Березниковский историко-художественный музей им. И.Ф. Коновалова», Муниципальное автономное учреждение культуры «Березниковский историко-художественный музей им. И.Ф. Коновалова»</t>
  </si>
  <si>
    <t xml:space="preserve">Муниципальное автономное учреждение культуры «Пыскорский дом культуры» </t>
  </si>
  <si>
    <t>II этап. Приобретение и установка мобильного здания «Сельская библиотека» в с. Ощепково</t>
  </si>
  <si>
    <t>II этап. Приобретение и установка мобильного здания «Сельская библиотека» в д. Турлавы</t>
  </si>
  <si>
    <t>Приобретение и установка мобильного здания «Сельская библиотека» в д. Сороковая</t>
  </si>
  <si>
    <t>Строительство культурно-образовательного молодежного комплекса "Цифровой кинопланетарий", г. Березники</t>
  </si>
  <si>
    <t>Основное мероприятие «Федеральный проект «Цифровая культура»</t>
  </si>
  <si>
    <t>Основное мероприятие «Федеральный проект «Творческие люди»</t>
  </si>
  <si>
    <t>Основное мероприятие «Федеральный проект «Культурная среда»</t>
  </si>
  <si>
    <t>Единовременная премия обучающимся, награжденным знаком отличия Пермского края «Гордость Пермского края»</t>
  </si>
  <si>
    <t>2.2.6.</t>
  </si>
  <si>
    <t>-</t>
  </si>
  <si>
    <t>*</t>
  </si>
  <si>
    <t>Выполнение мероприятий по оплате билетов учреждений культуры банковской картой</t>
  </si>
  <si>
    <t>03 1 А1 55132</t>
  </si>
  <si>
    <t>МКУ «УКС», федеральный бюджет</t>
  </si>
  <si>
    <t>2.2.1.8.</t>
  </si>
  <si>
    <t>Управление образования</t>
  </si>
  <si>
    <t>0703,  0802</t>
  </si>
  <si>
    <t>4 3 01 00000</t>
  </si>
  <si>
    <t>0703,  0803</t>
  </si>
  <si>
    <t>5 3 01 00000</t>
  </si>
  <si>
    <t>0703,  0804</t>
  </si>
  <si>
    <t>6 3 01 00000</t>
  </si>
  <si>
    <t>РЕСУРСНОЕ ОБЕСПЕЧЕНИЕ
реализации муниципальной программы «Развитие сферы культуры»</t>
  </si>
  <si>
    <t>МКУ «ОКТУ»</t>
  </si>
  <si>
    <t>03 1 А2 55190, 03 1 02 L5190</t>
  </si>
  <si>
    <t>2.2.7.</t>
  </si>
  <si>
    <t>03 1 02 L5190</t>
  </si>
  <si>
    <t>4.1.6.</t>
  </si>
  <si>
    <t>Программа «Развитие сферы культуры»</t>
  </si>
  <si>
    <t>2.2.8.</t>
  </si>
  <si>
    <t>5.4.</t>
  </si>
  <si>
    <t>5.4.1.</t>
  </si>
  <si>
    <t>03 4 04 00160</t>
  </si>
  <si>
    <t>03 4 04 00000</t>
  </si>
  <si>
    <t>МКУ «УКС»
всего,
в том числе</t>
  </si>
  <si>
    <t>Основное мероприятие «Обеспечение исполнения судебных решений»</t>
  </si>
  <si>
    <t>03 1 02 SК190</t>
  </si>
  <si>
    <t>0113</t>
  </si>
  <si>
    <t xml:space="preserve">«Приложение 3
 к муниципальной программе
 «Развитие сферы культуры»
</t>
  </si>
  <si>
    <t xml:space="preserve">Обеспечение деятельности (оказание услуг, выполнение работ) </t>
  </si>
  <si>
    <t>муниципальных учреждений (организаций)</t>
  </si>
  <si>
    <t xml:space="preserve">Обеспечение многообразия художественной, творческой жизни </t>
  </si>
  <si>
    <t xml:space="preserve">муниципального образования  </t>
  </si>
  <si>
    <t xml:space="preserve">Реализация инициативного проекта </t>
  </si>
  <si>
    <t>«Молодежная лига КВН»</t>
  </si>
  <si>
    <t xml:space="preserve">«Содержание органов местного самоуправления»
</t>
  </si>
  <si>
    <t xml:space="preserve">Государственная поддержка отрасли культуры (оснащение </t>
  </si>
  <si>
    <t xml:space="preserve">Основное мероприятие «Мероприятия в сфере </t>
  </si>
  <si>
    <t>оздоровления, занятости и отдыха детей»</t>
  </si>
  <si>
    <t>№ 
п/п</t>
  </si>
  <si>
    <t>Муниципальное автономное учреждение культуры 
«Централизованная библиотечная система» (далее - МАУК «ЦБС»)</t>
  </si>
  <si>
    <t>Управление культуры, 
всего, в том числе</t>
  </si>
  <si>
    <t>МКУ «УКС», 
всего, в том числе</t>
  </si>
  <si>
    <t>МКУ «УКС», 
местный бюджет</t>
  </si>
  <si>
    <t>МКУ «УКС», 
краевой бюджет</t>
  </si>
  <si>
    <t>МАУК «УДК», МАУК «УДНТ», федеральный бюджет</t>
  </si>
  <si>
    <t>МАУК «УДК», МАУК «УДНТ», краевой бюджет</t>
  </si>
  <si>
    <t>Всего, в том числе Управление культуры, 
МАУК «ЦБС»</t>
  </si>
  <si>
    <t>Управление культуры, 
МАУК «ЦБС»</t>
  </si>
  <si>
    <t>Управление по связям с общественностью 
и вопросам внутренней политики</t>
  </si>
  <si>
    <t>2.1.1.</t>
  </si>
  <si>
    <t>Муниципальное автономное учреждение культуры «Усольская муниципальная библиотека»  
(далее - МАУК «УМБ»)</t>
  </si>
  <si>
    <t xml:space="preserve">Муниципальное автономное учреждение  «Культурно-деловой центр г. Березники» 
(далее - МАУ «КДЦ г.Березники»)
</t>
  </si>
  <si>
    <t>2.2.1.9.</t>
  </si>
  <si>
    <t>2.2.1.10.</t>
  </si>
  <si>
    <t>Предпроектное обследование для определения способов инженерной защиты от негативного воздействия вод Камского водохранилища территории историко-архитектурного комплекса «Усолье Строгановское»</t>
  </si>
  <si>
    <t>Приобретение и установка мобильного здания «Сельский центр культуры и досуга» 
в пос. Шемейный</t>
  </si>
  <si>
    <t>2.2.2.</t>
  </si>
  <si>
    <t>2.2.3.</t>
  </si>
  <si>
    <t>Комплектование книжных фондов муниципальных общедоступных библиотек 
и государственных центральных библиотек субъектов РФ</t>
  </si>
  <si>
    <t>II этап. Приобретение и установка мобильного здания «Сельская библиотека» 
в с. Верх-Кондас</t>
  </si>
  <si>
    <t>Капитальный ремонт «Дома культуры» 
в с. Пыскор, в т.ч. обеспечение комплексной безопасности объекта (АПС, АТЗ)</t>
  </si>
  <si>
    <t>2.2.5.10.</t>
  </si>
  <si>
    <t>2.2.5.11.</t>
  </si>
  <si>
    <t>Ремонт объектов  МАУК «УДНТ» 
(соглашение 2)</t>
  </si>
  <si>
    <t>Муниципальное казенное учреждение «Управление капитального строительства» 
(далее - МКУ «УКС»)</t>
  </si>
  <si>
    <t>Управление образования администрации города Березники 
(далее - Управление образования), 
местный бюджет</t>
  </si>
  <si>
    <t>Муниципальное казённое учреждение «Объединённый комитет территориального управления» (далее - МКУ «ОКТУ»), местный бюджет</t>
  </si>
  <si>
    <t>Управление 
по связям 
с общественностью 
и вопросам внутренней политики администрации города Березники (далее - Управление по связям 
с общественностью 
и вопросам внутренней политики), местный бюджет</t>
  </si>
  <si>
    <t>Строительство «Сельского дома культуры» 
на 100 мест в с. Березовка</t>
  </si>
  <si>
    <t xml:space="preserve">Строительство центра культурного развития 
в микрорайоне «Любимов» </t>
  </si>
  <si>
    <t>Подпрограмма 2 «Развитие художественного образования и поддержка талантливых детей 
и молодежи»</t>
  </si>
  <si>
    <t xml:space="preserve">Муниципальное бюджетное учреждение дополнительного образования «Школа-театр балета 
г. Березники» 
(далее – МБУДО «ШТБ»), Муниципальное бюджетное учреждение дополнительного образования «Детская хореографическая школа «Театр Балета» 
</t>
  </si>
  <si>
    <t>Реализация инициативного проекта 
«Добро пожаловать в Пыскор!»</t>
  </si>
  <si>
    <t>Реализация инициативного проекта 
«Детское творчество - родному городу»</t>
  </si>
  <si>
    <t>5.2.2.</t>
  </si>
  <si>
    <t xml:space="preserve">МАУ «КДЦ г.Березники»
</t>
  </si>
  <si>
    <t>Создание рабочей документации для создания объекта «Музей техники под открытым небом 
в г.Березники»</t>
  </si>
  <si>
    <t>II этап. Приобретение и установка мобильного здания «Сельский центр культуры и досуга» 
в с. Щекино</t>
  </si>
  <si>
    <t>Приобретение и установка мобильного здания «Сельский центр культуры и досуга» 
в пос. Лысьва</t>
  </si>
  <si>
    <t xml:space="preserve">Муниципальное бюджетное учреждение дополнительного образования 
«Детская музыкальная школа № 1 
им. П.И. Чайковского» (далее - МБУДО 
«ДМШ 1 им.П.И.Чайковского») 
</t>
  </si>
  <si>
    <t>Реализация инициативного проекта 
«Березники - 90. Юбилейная открытка»</t>
  </si>
  <si>
    <t>Управление по связям 
с общественностью 
и вопросам внутренней политики</t>
  </si>
  <si>
    <t>«Организация отдыха, оздоровления детей 
и молодежи»</t>
  </si>
  <si>
    <t>Мероприятия по организации оздоровления 
и отдыха детей</t>
  </si>
  <si>
    <t>Средства на исполнение судебных актов, 
за исключением кредиторской задолженности 
по договорам на поставку товаров, выполнение работ, оказание услуг для муниципальных нужд</t>
  </si>
  <si>
    <t>МАУК «УДК», 
МАУК «УДНТ»,
местный бюджет</t>
  </si>
  <si>
    <t>Основное мероприятие 
«Организация культурного досуга»</t>
  </si>
  <si>
    <t>Обеспечение развития и укрепления материально-технической базы домов культуры в населенных пунктах с числом жителей 
до 50 тыс.человек</t>
  </si>
  <si>
    <t>Выполнение работ по сохранению объектов культурного наследия, находящихся 
в собственности муниципальных образований</t>
  </si>
  <si>
    <t>Приспособление объекта культурного наследия регионального значения 
«Кинотеатр «Авангард» 
для современного использования 
(культурно-деловой центр)</t>
  </si>
  <si>
    <t>Реконструкция здания МАУК «УДНТ», расположенного по адресу: 
г. Усолье, ул. Елькина, д. 14</t>
  </si>
  <si>
    <t xml:space="preserve">«Приобретение музыкальных инструментов 
и оборудования для учреждений дополнительного образования в сфере культуры» 
</t>
  </si>
  <si>
    <t>Реконструкция нежилого здания 
под размещение МБУДО «ШТБ»</t>
  </si>
  <si>
    <t>образовательных учреждений в сфере культуры (детских школ искусств по видам искусств 
и училищ) музыкальными инструментами, оборудованием и учебными материалами)</t>
  </si>
  <si>
    <t>«Активное долголетие: 
от смартфона до ноутбука»</t>
  </si>
  <si>
    <t>Иные межбюджетные трансферты 
за достижение показателей деятельности органов исполнительной власти субъектов Российской Федерации</t>
  </si>
  <si>
    <t>Обеспечение работников учреждений бюджетной сферы Пермского края путевками на санаторно-курортное лечение 
и оздоровление</t>
  </si>
  <si>
    <t>Предоставление мер социальной поддержки отдельным категориям граждан, работающим 
в государственных и муниципальных организациях ПК и проживающим в сельской местности и поселках городского типа 
(рабочих поселках), по оплате жилого помещения и коммунальных услуг</t>
  </si>
  <si>
    <t>2.2.1.11.</t>
  </si>
  <si>
    <t>Приобретение передвижных многофункциональных культурных центров (автоклубов) для обслуживания сельского населения субъектов РФ</t>
  </si>
  <si>
    <t>МАУК «УДНТ»</t>
  </si>
  <si>
    <t>Реализация мероприятий комплексных планов развития муниципальных образований территорий Верхнекамья</t>
  </si>
  <si>
    <t>03102SP310</t>
  </si>
  <si>
    <t>2.2.9.</t>
  </si>
  <si>
    <t>2.1.3.</t>
  </si>
  <si>
    <t>03 1 01 L5170</t>
  </si>
  <si>
    <t>03 1 05 SP310</t>
  </si>
  <si>
    <t>Объем финансирования 
по источникам</t>
  </si>
  <si>
    <t>Управление по охране окружающей среды 
и природопользованию администрации города Березники 
(далее - 
УООСиП), 
местный бюджет</t>
  </si>
  <si>
    <t>МАУК «Драматический театр «Бенефис» 
для детей и молодежи»</t>
  </si>
  <si>
    <t xml:space="preserve">Муниципальное автономное учреждение культуры «Драматический театр «Бенефис» для детей 
и молодежи» г.Березники (далее - МАУК «Драматический театр «Бенефис» 
для детей 
и молодежи»)
</t>
  </si>
  <si>
    <t>Поддержка творческой деятельности 
и техническое оснащение детских и кукольных театров</t>
  </si>
  <si>
    <t>Капитальный ремонт «Дома культуры» 
в с. Пыскор</t>
  </si>
  <si>
    <t>Приобретение и установка мобильного здания «Сельский центр культуры и досуга» 
в пос.  Шемейный</t>
  </si>
  <si>
    <t>II этап. Приобретение и установка мобильного здания «Сельская библиотека» 
в с.  Верх-Кондас</t>
  </si>
  <si>
    <t>Капитальный ремонт 
«Дома культуры» в г. Усолье</t>
  </si>
  <si>
    <t>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</si>
</sst>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left" vertical="top" wrapText="1"/>
    </xf>
    <xf numFmtId="0" fontId="4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top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3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173" fontId="5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173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74" fontId="5" fillId="0" borderId="0" xfId="0" applyNumberFormat="1" applyFont="1" applyAlignment="1">
      <alignment horizontal="left"/>
    </xf>
    <xf numFmtId="173" fontId="5" fillId="0" borderId="0" xfId="0" applyNumberFormat="1" applyFont="1" applyAlignment="1">
      <alignment/>
    </xf>
    <xf numFmtId="174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173" fontId="4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left" vertical="top" wrapText="1"/>
    </xf>
    <xf numFmtId="172" fontId="4" fillId="0" borderId="0" xfId="0" applyNumberFormat="1" applyFont="1" applyAlignment="1">
      <alignment horizontal="center" vertical="top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173" fontId="4" fillId="33" borderId="10" xfId="0" applyNumberFormat="1" applyFont="1" applyFill="1" applyBorder="1" applyAlignment="1">
      <alignment horizontal="center" vertical="top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vertical="top"/>
    </xf>
    <xf numFmtId="49" fontId="4" fillId="33" borderId="13" xfId="0" applyNumberFormat="1" applyFont="1" applyFill="1" applyBorder="1" applyAlignment="1">
      <alignment vertical="top"/>
    </xf>
    <xf numFmtId="49" fontId="4" fillId="33" borderId="12" xfId="0" applyNumberFormat="1" applyFont="1" applyFill="1" applyBorder="1" applyAlignment="1">
      <alignment vertical="top"/>
    </xf>
    <xf numFmtId="172" fontId="4" fillId="33" borderId="14" xfId="0" applyNumberFormat="1" applyFont="1" applyFill="1" applyBorder="1" applyAlignment="1">
      <alignment horizontal="center" vertical="top"/>
    </xf>
    <xf numFmtId="172" fontId="4" fillId="33" borderId="0" xfId="0" applyNumberFormat="1" applyFont="1" applyFill="1" applyAlignment="1">
      <alignment horizontal="center" vertical="top"/>
    </xf>
    <xf numFmtId="49" fontId="4" fillId="33" borderId="13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>
      <alignment vertical="top" wrapText="1"/>
    </xf>
    <xf numFmtId="49" fontId="4" fillId="34" borderId="12" xfId="0" applyNumberFormat="1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173" fontId="4" fillId="34" borderId="10" xfId="0" applyNumberFormat="1" applyFont="1" applyFill="1" applyBorder="1" applyAlignment="1">
      <alignment horizontal="center" vertical="top"/>
    </xf>
    <xf numFmtId="173" fontId="4" fillId="34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left" vertical="top" wrapText="1"/>
    </xf>
    <xf numFmtId="3" fontId="4" fillId="33" borderId="10" xfId="53" applyNumberFormat="1" applyFont="1" applyFill="1" applyBorder="1" applyAlignment="1">
      <alignment horizontal="left" vertical="top" wrapText="1"/>
      <protection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49" fontId="4" fillId="33" borderId="16" xfId="0" applyNumberFormat="1" applyFont="1" applyFill="1" applyBorder="1" applyAlignment="1">
      <alignment horizontal="left" vertical="top" wrapText="1"/>
    </xf>
    <xf numFmtId="14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172" fontId="4" fillId="33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72" fontId="47" fillId="0" borderId="0" xfId="0" applyNumberFormat="1" applyFont="1" applyAlignment="1">
      <alignment/>
    </xf>
    <xf numFmtId="172" fontId="47" fillId="0" borderId="0" xfId="0" applyNumberFormat="1" applyFont="1" applyAlignment="1">
      <alignment horizontal="right"/>
    </xf>
    <xf numFmtId="0" fontId="47" fillId="0" borderId="0" xfId="0" applyFont="1" applyAlignment="1">
      <alignment horizontal="left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173" fontId="4" fillId="33" borderId="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49" fontId="4" fillId="33" borderId="11" xfId="0" applyNumberFormat="1" applyFont="1" applyFill="1" applyBorder="1" applyAlignment="1">
      <alignment horizontal="left" vertical="top"/>
    </xf>
    <xf numFmtId="49" fontId="4" fillId="33" borderId="13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3" xfId="0" applyNumberFormat="1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9" fillId="33" borderId="0" xfId="0" applyFont="1" applyFill="1" applyAlignment="1">
      <alignment horizontal="left" vertical="top" wrapText="1"/>
    </xf>
    <xf numFmtId="0" fontId="8" fillId="33" borderId="0" xfId="0" applyFont="1" applyFill="1" applyAlignment="1">
      <alignment horizontal="center" wrapText="1"/>
    </xf>
    <xf numFmtId="172" fontId="4" fillId="33" borderId="14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98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Y564"/>
  <sheetViews>
    <sheetView tabSelected="1" view="pageBreakPreview" zoomScale="60" zoomScaleNormal="87" zoomScalePageLayoutView="0" workbookViewId="0" topLeftCell="A1">
      <pane xSplit="2" ySplit="6" topLeftCell="C4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3" sqref="B63:B66"/>
    </sheetView>
  </sheetViews>
  <sheetFormatPr defaultColWidth="9.140625" defaultRowHeight="15" outlineLevelRow="4"/>
  <cols>
    <col min="1" max="1" width="10.00390625" style="95" customWidth="1"/>
    <col min="2" max="2" width="38.7109375" style="7" customWidth="1"/>
    <col min="3" max="3" width="9.8515625" style="97" customWidth="1"/>
    <col min="4" max="4" width="16.28125" style="97" customWidth="1"/>
    <col min="5" max="5" width="19.421875" style="96" customWidth="1"/>
    <col min="6" max="6" width="18.7109375" style="98" customWidth="1"/>
    <col min="7" max="7" width="14.00390625" style="71" bestFit="1" customWidth="1"/>
    <col min="8" max="8" width="13.421875" style="71" customWidth="1"/>
    <col min="9" max="9" width="13.421875" style="50" customWidth="1"/>
    <col min="10" max="15" width="13.421875" style="71" customWidth="1"/>
    <col min="16" max="16" width="20.57421875" style="15" customWidth="1"/>
    <col min="17" max="17" width="24.140625" style="15" customWidth="1"/>
    <col min="18" max="18" width="19.7109375" style="16" customWidth="1"/>
    <col min="19" max="19" width="16.140625" style="17" customWidth="1"/>
    <col min="20" max="21" width="10.28125" style="17" bestFit="1" customWidth="1"/>
    <col min="22" max="16384" width="8.8515625" style="17" customWidth="1"/>
  </cols>
  <sheetData>
    <row r="1" spans="1:16" ht="63" customHeight="1">
      <c r="A1" s="6"/>
      <c r="C1" s="8"/>
      <c r="D1" s="8"/>
      <c r="E1" s="7"/>
      <c r="F1" s="12"/>
      <c r="G1" s="12"/>
      <c r="H1" s="12"/>
      <c r="J1" s="13"/>
      <c r="K1" s="13"/>
      <c r="L1" s="13"/>
      <c r="M1" s="144" t="s">
        <v>539</v>
      </c>
      <c r="N1" s="144"/>
      <c r="O1" s="144"/>
      <c r="P1" s="4"/>
    </row>
    <row r="2" spans="1:16" ht="36" customHeight="1">
      <c r="A2" s="145" t="s">
        <v>523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5"/>
    </row>
    <row r="3" spans="1:16" ht="12.75">
      <c r="A3" s="6"/>
      <c r="C3" s="8"/>
      <c r="D3" s="8"/>
      <c r="E3" s="7"/>
      <c r="F3" s="12"/>
      <c r="G3" s="146" t="s">
        <v>12</v>
      </c>
      <c r="H3" s="146"/>
      <c r="I3" s="146"/>
      <c r="J3" s="146"/>
      <c r="K3" s="146"/>
      <c r="L3" s="146"/>
      <c r="M3" s="146"/>
      <c r="N3" s="146"/>
      <c r="O3" s="146"/>
      <c r="P3" s="10"/>
    </row>
    <row r="4" spans="1:16" ht="15" customHeight="1">
      <c r="A4" s="135" t="s">
        <v>550</v>
      </c>
      <c r="B4" s="141" t="s">
        <v>222</v>
      </c>
      <c r="C4" s="138" t="s">
        <v>55</v>
      </c>
      <c r="D4" s="138" t="s">
        <v>221</v>
      </c>
      <c r="E4" s="134" t="s">
        <v>0</v>
      </c>
      <c r="F4" s="134" t="s">
        <v>619</v>
      </c>
      <c r="G4" s="133" t="s">
        <v>223</v>
      </c>
      <c r="H4" s="133"/>
      <c r="I4" s="133"/>
      <c r="J4" s="133"/>
      <c r="K4" s="133"/>
      <c r="L4" s="133"/>
      <c r="M4" s="133"/>
      <c r="N4" s="133"/>
      <c r="O4" s="133"/>
      <c r="P4" s="51">
        <v>372941.19999999995</v>
      </c>
    </row>
    <row r="5" spans="1:16" ht="61.5" customHeight="1">
      <c r="A5" s="135"/>
      <c r="B5" s="142"/>
      <c r="C5" s="139"/>
      <c r="D5" s="139"/>
      <c r="E5" s="134"/>
      <c r="F5" s="134"/>
      <c r="G5" s="2">
        <v>2019</v>
      </c>
      <c r="H5" s="2">
        <v>2020</v>
      </c>
      <c r="I5" s="2">
        <v>2021</v>
      </c>
      <c r="J5" s="2">
        <v>2022</v>
      </c>
      <c r="K5" s="2">
        <v>2023</v>
      </c>
      <c r="L5" s="2">
        <v>2024</v>
      </c>
      <c r="M5" s="2">
        <v>2025</v>
      </c>
      <c r="N5" s="2">
        <v>2026</v>
      </c>
      <c r="O5" s="2">
        <v>2027</v>
      </c>
      <c r="P5" s="52"/>
    </row>
    <row r="6" spans="1:17" ht="12.75">
      <c r="A6" s="3">
        <v>1</v>
      </c>
      <c r="B6" s="113">
        <v>2</v>
      </c>
      <c r="C6" s="3" t="s">
        <v>117</v>
      </c>
      <c r="D6" s="3" t="s">
        <v>131</v>
      </c>
      <c r="E6" s="1">
        <v>5</v>
      </c>
      <c r="F6" s="1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52">
        <v>405355</v>
      </c>
      <c r="Q6" s="106">
        <v>320156.9</v>
      </c>
    </row>
    <row r="7" spans="1:19" ht="17.25" customHeight="1">
      <c r="A7" s="53" t="s">
        <v>246</v>
      </c>
      <c r="B7" s="54" t="s">
        <v>529</v>
      </c>
      <c r="C7" s="55"/>
      <c r="D7" s="55"/>
      <c r="E7" s="11" t="s">
        <v>244</v>
      </c>
      <c r="F7" s="56">
        <f>G7+H7+I7+J7+K7+L7+M7+N7+O7</f>
        <v>3491357.2</v>
      </c>
      <c r="G7" s="56">
        <f aca="true" t="shared" si="0" ref="G7:O7">G8+G10+G9</f>
        <v>361672.3</v>
      </c>
      <c r="H7" s="56">
        <f t="shared" si="0"/>
        <v>305902.49999999994</v>
      </c>
      <c r="I7" s="56">
        <f t="shared" si="0"/>
        <v>367385.80000000005</v>
      </c>
      <c r="J7" s="56">
        <f t="shared" si="0"/>
        <v>351248.10000000003</v>
      </c>
      <c r="K7" s="56">
        <f t="shared" si="0"/>
        <v>341039.80000000005</v>
      </c>
      <c r="L7" s="56">
        <f t="shared" si="0"/>
        <v>468524.9</v>
      </c>
      <c r="M7" s="56">
        <f t="shared" si="0"/>
        <v>612437.6</v>
      </c>
      <c r="N7" s="56">
        <f t="shared" si="0"/>
        <v>341573.1</v>
      </c>
      <c r="O7" s="56">
        <f t="shared" si="0"/>
        <v>341573.1</v>
      </c>
      <c r="P7" s="57">
        <f>L7+K7+J7+I7+H7+G7-F7</f>
        <v>-1295583.8000000003</v>
      </c>
      <c r="Q7" s="18">
        <f aca="true" t="shared" si="1" ref="Q7:Q57">O7+N7+M7+L7+K7+J7+I7+H7+G7-F7</f>
        <v>0</v>
      </c>
      <c r="R7" s="19">
        <v>650.2</v>
      </c>
      <c r="S7" s="20" t="s">
        <v>409</v>
      </c>
    </row>
    <row r="8" spans="1:19" s="23" customFormat="1" ht="29.25" customHeight="1">
      <c r="A8" s="58"/>
      <c r="B8" s="59"/>
      <c r="C8" s="55"/>
      <c r="D8" s="55"/>
      <c r="E8" s="11" t="s">
        <v>295</v>
      </c>
      <c r="F8" s="56">
        <f>G8+H8+I8+J8+K8+L8+M8+N8+O8</f>
        <v>460008</v>
      </c>
      <c r="G8" s="56">
        <f>G19+G13</f>
        <v>3338</v>
      </c>
      <c r="H8" s="56">
        <v>24569.1</v>
      </c>
      <c r="I8" s="56">
        <f aca="true" t="shared" si="2" ref="I8:O8">I19+I13</f>
        <v>51426.700000000004</v>
      </c>
      <c r="J8" s="56">
        <f t="shared" si="2"/>
        <v>25549.699999999997</v>
      </c>
      <c r="K8" s="56">
        <f t="shared" si="2"/>
        <v>14348.699999999999</v>
      </c>
      <c r="L8" s="56">
        <f t="shared" si="2"/>
        <v>115775.8</v>
      </c>
      <c r="M8" s="56">
        <f t="shared" si="2"/>
        <v>225000</v>
      </c>
      <c r="N8" s="56">
        <f t="shared" si="2"/>
        <v>0</v>
      </c>
      <c r="O8" s="56">
        <f t="shared" si="2"/>
        <v>0</v>
      </c>
      <c r="P8" s="57">
        <f aca="true" t="shared" si="3" ref="P8:P49">L8+K8+J8+I8+H8+G8-F8</f>
        <v>-224999.99999999997</v>
      </c>
      <c r="Q8" s="18">
        <f t="shared" si="1"/>
        <v>0</v>
      </c>
      <c r="R8" s="21">
        <v>650.2</v>
      </c>
      <c r="S8" s="22" t="s">
        <v>408</v>
      </c>
    </row>
    <row r="9" spans="1:19" s="23" customFormat="1" ht="18" customHeight="1">
      <c r="A9" s="58"/>
      <c r="B9" s="59"/>
      <c r="C9" s="55"/>
      <c r="D9" s="55"/>
      <c r="E9" s="11" t="s">
        <v>282</v>
      </c>
      <c r="F9" s="56">
        <f aca="true" t="shared" si="4" ref="F9:F49">G9+H9+I9+J9+K9+L9+M9+N9+O9</f>
        <v>38175.3</v>
      </c>
      <c r="G9" s="56">
        <f>G20</f>
        <v>7415.1</v>
      </c>
      <c r="H9" s="56">
        <f aca="true" t="shared" si="5" ref="H9:O9">H20</f>
        <v>7737.3</v>
      </c>
      <c r="I9" s="56">
        <f t="shared" si="5"/>
        <v>6093</v>
      </c>
      <c r="J9" s="56">
        <f t="shared" si="5"/>
        <v>11031.1</v>
      </c>
      <c r="K9" s="56">
        <f t="shared" si="5"/>
        <v>5898.8</v>
      </c>
      <c r="L9" s="56">
        <f t="shared" si="5"/>
        <v>0</v>
      </c>
      <c r="M9" s="56">
        <f t="shared" si="5"/>
        <v>0</v>
      </c>
      <c r="N9" s="56">
        <f t="shared" si="5"/>
        <v>0</v>
      </c>
      <c r="O9" s="56">
        <f t="shared" si="5"/>
        <v>0</v>
      </c>
      <c r="P9" s="57">
        <f t="shared" si="3"/>
        <v>0</v>
      </c>
      <c r="Q9" s="18">
        <f t="shared" si="1"/>
        <v>0</v>
      </c>
      <c r="R9" s="24">
        <v>0</v>
      </c>
      <c r="S9" s="25"/>
    </row>
    <row r="10" spans="1:18" s="23" customFormat="1" ht="15" customHeight="1">
      <c r="A10" s="58"/>
      <c r="B10" s="59"/>
      <c r="C10" s="55"/>
      <c r="D10" s="55"/>
      <c r="E10" s="11" t="s">
        <v>18</v>
      </c>
      <c r="F10" s="56">
        <f t="shared" si="4"/>
        <v>2993173.9000000004</v>
      </c>
      <c r="G10" s="56">
        <f aca="true" t="shared" si="6" ref="G10:O10">G12+G21+G14+G15+G16+G17</f>
        <v>350919.2</v>
      </c>
      <c r="H10" s="56">
        <f t="shared" si="6"/>
        <v>273596.1</v>
      </c>
      <c r="I10" s="56">
        <f t="shared" si="6"/>
        <v>309866.10000000003</v>
      </c>
      <c r="J10" s="56">
        <f t="shared" si="6"/>
        <v>314667.30000000005</v>
      </c>
      <c r="K10" s="56">
        <f t="shared" si="6"/>
        <v>320792.30000000005</v>
      </c>
      <c r="L10" s="56">
        <f t="shared" si="6"/>
        <v>352749.10000000003</v>
      </c>
      <c r="M10" s="56">
        <f t="shared" si="6"/>
        <v>387437.6</v>
      </c>
      <c r="N10" s="56">
        <f t="shared" si="6"/>
        <v>341573.1</v>
      </c>
      <c r="O10" s="56">
        <f t="shared" si="6"/>
        <v>341573.1</v>
      </c>
      <c r="P10" s="57">
        <f t="shared" si="3"/>
        <v>-1070583.8</v>
      </c>
      <c r="Q10" s="18">
        <f t="shared" si="1"/>
        <v>0</v>
      </c>
      <c r="R10" s="26"/>
    </row>
    <row r="11" spans="1:17" ht="80.25" customHeight="1">
      <c r="A11" s="58"/>
      <c r="B11" s="59"/>
      <c r="C11" s="55"/>
      <c r="D11" s="55"/>
      <c r="E11" s="11" t="s">
        <v>576</v>
      </c>
      <c r="F11" s="56">
        <f t="shared" si="4"/>
        <v>736044.7999999999</v>
      </c>
      <c r="G11" s="56">
        <f>G12+G13</f>
        <v>96255.49999999999</v>
      </c>
      <c r="H11" s="56">
        <f>H12+H13</f>
        <v>41535.4</v>
      </c>
      <c r="I11" s="56">
        <f aca="true" t="shared" si="7" ref="I11:O11">I12+I13</f>
        <v>97024.20000000001</v>
      </c>
      <c r="J11" s="56">
        <f t="shared" si="7"/>
        <v>49637.5</v>
      </c>
      <c r="K11" s="56">
        <f t="shared" si="7"/>
        <v>26150.300000000003</v>
      </c>
      <c r="L11" s="56">
        <f t="shared" si="7"/>
        <v>122485.3</v>
      </c>
      <c r="M11" s="56">
        <f t="shared" si="7"/>
        <v>302956.6</v>
      </c>
      <c r="N11" s="56">
        <f t="shared" si="7"/>
        <v>0</v>
      </c>
      <c r="O11" s="56">
        <f t="shared" si="7"/>
        <v>0</v>
      </c>
      <c r="P11" s="57">
        <f t="shared" si="3"/>
        <v>-302956.59999999986</v>
      </c>
      <c r="Q11" s="107">
        <v>30572.1</v>
      </c>
    </row>
    <row r="12" spans="1:18" s="23" customFormat="1" ht="13.5" customHeight="1">
      <c r="A12" s="58"/>
      <c r="B12" s="59"/>
      <c r="C12" s="55"/>
      <c r="D12" s="55"/>
      <c r="E12" s="11" t="s">
        <v>18</v>
      </c>
      <c r="F12" s="56">
        <f>G12+H12+I12+J12+K12+L12+M12+N12+O12</f>
        <v>307721.5</v>
      </c>
      <c r="G12" s="56">
        <f>G24+G397+G505</f>
        <v>96255.49999999999</v>
      </c>
      <c r="H12" s="56">
        <v>25524.9</v>
      </c>
      <c r="I12" s="56">
        <f>I24+I397+I505</f>
        <v>48777.9</v>
      </c>
      <c r="J12" s="56">
        <f>J24+J397+J505</f>
        <v>31223.800000000003</v>
      </c>
      <c r="K12" s="56">
        <f>K24+K397+K505+K562</f>
        <v>21273.300000000003</v>
      </c>
      <c r="L12" s="56">
        <f>L24+L397+L505</f>
        <v>6709.5</v>
      </c>
      <c r="M12" s="56">
        <f>M24+M397+M505</f>
        <v>77956.6</v>
      </c>
      <c r="N12" s="56">
        <f>N24+N397+N505</f>
        <v>0</v>
      </c>
      <c r="O12" s="56">
        <f>O24+O397+O505</f>
        <v>0</v>
      </c>
      <c r="P12" s="57">
        <f t="shared" si="3"/>
        <v>-77956.60000000003</v>
      </c>
      <c r="Q12" s="18">
        <f t="shared" si="1"/>
        <v>0</v>
      </c>
      <c r="R12" s="26"/>
    </row>
    <row r="13" spans="1:18" s="23" customFormat="1" ht="15" customHeight="1">
      <c r="A13" s="58"/>
      <c r="B13" s="59"/>
      <c r="C13" s="55"/>
      <c r="D13" s="55"/>
      <c r="E13" s="11" t="s">
        <v>38</v>
      </c>
      <c r="F13" s="56">
        <f t="shared" si="4"/>
        <v>428323.3</v>
      </c>
      <c r="G13" s="56">
        <f>G25+G398</f>
        <v>0</v>
      </c>
      <c r="H13" s="56">
        <v>16010.5</v>
      </c>
      <c r="I13" s="56">
        <f aca="true" t="shared" si="8" ref="I13:O13">I25+I398</f>
        <v>48246.3</v>
      </c>
      <c r="J13" s="56">
        <f t="shared" si="8"/>
        <v>18413.699999999997</v>
      </c>
      <c r="K13" s="56">
        <f t="shared" si="8"/>
        <v>4877</v>
      </c>
      <c r="L13" s="56">
        <f t="shared" si="8"/>
        <v>115775.8</v>
      </c>
      <c r="M13" s="56">
        <f t="shared" si="8"/>
        <v>225000</v>
      </c>
      <c r="N13" s="56">
        <f t="shared" si="8"/>
        <v>0</v>
      </c>
      <c r="O13" s="56">
        <f t="shared" si="8"/>
        <v>0</v>
      </c>
      <c r="P13" s="57">
        <f t="shared" si="3"/>
        <v>-225000</v>
      </c>
      <c r="Q13" s="18">
        <f t="shared" si="1"/>
        <v>0</v>
      </c>
      <c r="R13" s="26"/>
    </row>
    <row r="14" spans="1:18" s="23" customFormat="1" ht="97.5" customHeight="1">
      <c r="A14" s="58"/>
      <c r="B14" s="59"/>
      <c r="C14" s="55"/>
      <c r="D14" s="55"/>
      <c r="E14" s="55" t="s">
        <v>620</v>
      </c>
      <c r="F14" s="56">
        <f t="shared" si="4"/>
        <v>1426.3</v>
      </c>
      <c r="G14" s="56">
        <f aca="true" t="shared" si="9" ref="G14:O14">G26</f>
        <v>0</v>
      </c>
      <c r="H14" s="56">
        <f t="shared" si="9"/>
        <v>0</v>
      </c>
      <c r="I14" s="56">
        <f t="shared" si="9"/>
        <v>1426.3</v>
      </c>
      <c r="J14" s="56">
        <f t="shared" si="9"/>
        <v>0</v>
      </c>
      <c r="K14" s="56">
        <f t="shared" si="9"/>
        <v>0</v>
      </c>
      <c r="L14" s="56">
        <f t="shared" si="9"/>
        <v>0</v>
      </c>
      <c r="M14" s="56">
        <f t="shared" si="9"/>
        <v>0</v>
      </c>
      <c r="N14" s="56">
        <f t="shared" si="9"/>
        <v>0</v>
      </c>
      <c r="O14" s="56">
        <f t="shared" si="9"/>
        <v>0</v>
      </c>
      <c r="P14" s="57">
        <f t="shared" si="3"/>
        <v>0</v>
      </c>
      <c r="Q14" s="18">
        <f t="shared" si="1"/>
        <v>0</v>
      </c>
      <c r="R14" s="26"/>
    </row>
    <row r="15" spans="1:18" s="23" customFormat="1" ht="102" customHeight="1">
      <c r="A15" s="58"/>
      <c r="B15" s="59"/>
      <c r="C15" s="55"/>
      <c r="D15" s="55"/>
      <c r="E15" s="11" t="s">
        <v>577</v>
      </c>
      <c r="F15" s="56">
        <f t="shared" si="4"/>
        <v>211.2</v>
      </c>
      <c r="G15" s="56">
        <f aca="true" t="shared" si="10" ref="G15:O15">G490</f>
        <v>0</v>
      </c>
      <c r="H15" s="56">
        <f t="shared" si="10"/>
        <v>0</v>
      </c>
      <c r="I15" s="56">
        <f t="shared" si="10"/>
        <v>0</v>
      </c>
      <c r="J15" s="56">
        <f t="shared" si="10"/>
        <v>211.2</v>
      </c>
      <c r="K15" s="56">
        <f t="shared" si="10"/>
        <v>0</v>
      </c>
      <c r="L15" s="56">
        <f t="shared" si="10"/>
        <v>0</v>
      </c>
      <c r="M15" s="56">
        <f t="shared" si="10"/>
        <v>0</v>
      </c>
      <c r="N15" s="56">
        <f t="shared" si="10"/>
        <v>0</v>
      </c>
      <c r="O15" s="56">
        <f t="shared" si="10"/>
        <v>0</v>
      </c>
      <c r="P15" s="57">
        <f t="shared" si="3"/>
        <v>0</v>
      </c>
      <c r="Q15" s="18">
        <f t="shared" si="1"/>
        <v>0</v>
      </c>
      <c r="R15" s="26"/>
    </row>
    <row r="16" spans="1:18" s="23" customFormat="1" ht="120.75" customHeight="1">
      <c r="A16" s="60"/>
      <c r="B16" s="61"/>
      <c r="C16" s="55"/>
      <c r="D16" s="55"/>
      <c r="E16" s="11" t="s">
        <v>578</v>
      </c>
      <c r="F16" s="56">
        <f t="shared" si="4"/>
        <v>239.4</v>
      </c>
      <c r="G16" s="56">
        <f aca="true" t="shared" si="11" ref="G16:O16">G491</f>
        <v>0</v>
      </c>
      <c r="H16" s="56">
        <f t="shared" si="11"/>
        <v>0</v>
      </c>
      <c r="I16" s="56">
        <f t="shared" si="11"/>
        <v>0</v>
      </c>
      <c r="J16" s="56">
        <f t="shared" si="11"/>
        <v>239.4</v>
      </c>
      <c r="K16" s="56">
        <f t="shared" si="11"/>
        <v>0</v>
      </c>
      <c r="L16" s="56">
        <f t="shared" si="11"/>
        <v>0</v>
      </c>
      <c r="M16" s="56">
        <f t="shared" si="11"/>
        <v>0</v>
      </c>
      <c r="N16" s="56">
        <f t="shared" si="11"/>
        <v>0</v>
      </c>
      <c r="O16" s="56">
        <f t="shared" si="11"/>
        <v>0</v>
      </c>
      <c r="P16" s="57">
        <f t="shared" si="3"/>
        <v>0</v>
      </c>
      <c r="Q16" s="18">
        <f t="shared" si="1"/>
        <v>0</v>
      </c>
      <c r="R16" s="26"/>
    </row>
    <row r="17" spans="1:18" s="23" customFormat="1" ht="165" customHeight="1">
      <c r="A17" s="58"/>
      <c r="B17" s="59"/>
      <c r="C17" s="55"/>
      <c r="D17" s="55"/>
      <c r="E17" s="11" t="s">
        <v>579</v>
      </c>
      <c r="F17" s="56">
        <f t="shared" si="4"/>
        <v>149.7</v>
      </c>
      <c r="G17" s="56">
        <f aca="true" t="shared" si="12" ref="G17:O17">G501</f>
        <v>0</v>
      </c>
      <c r="H17" s="56">
        <f t="shared" si="12"/>
        <v>0</v>
      </c>
      <c r="I17" s="56">
        <f t="shared" si="12"/>
        <v>0</v>
      </c>
      <c r="J17" s="56">
        <f t="shared" si="12"/>
        <v>149.7</v>
      </c>
      <c r="K17" s="56">
        <f t="shared" si="12"/>
        <v>0</v>
      </c>
      <c r="L17" s="56">
        <f t="shared" si="12"/>
        <v>0</v>
      </c>
      <c r="M17" s="56">
        <f t="shared" si="12"/>
        <v>0</v>
      </c>
      <c r="N17" s="56">
        <f t="shared" si="12"/>
        <v>0</v>
      </c>
      <c r="O17" s="56">
        <f t="shared" si="12"/>
        <v>0</v>
      </c>
      <c r="P17" s="57">
        <f t="shared" si="3"/>
        <v>0</v>
      </c>
      <c r="Q17" s="18">
        <f t="shared" si="1"/>
        <v>0</v>
      </c>
      <c r="R17" s="26"/>
    </row>
    <row r="18" spans="1:17" ht="63.75" customHeight="1">
      <c r="A18" s="58"/>
      <c r="B18" s="59"/>
      <c r="C18" s="55"/>
      <c r="D18" s="55"/>
      <c r="E18" s="11" t="s">
        <v>224</v>
      </c>
      <c r="F18" s="56">
        <f t="shared" si="4"/>
        <v>2753285.8000000003</v>
      </c>
      <c r="G18" s="56">
        <f aca="true" t="shared" si="13" ref="G18:O18">G19+G21+G20</f>
        <v>265416.8</v>
      </c>
      <c r="H18" s="56">
        <f t="shared" si="13"/>
        <v>264367.1</v>
      </c>
      <c r="I18" s="56">
        <f t="shared" si="13"/>
        <v>268935.30000000005</v>
      </c>
      <c r="J18" s="56">
        <f t="shared" si="13"/>
        <v>301010.3</v>
      </c>
      <c r="K18" s="56">
        <f t="shared" si="13"/>
        <v>314889.50000000006</v>
      </c>
      <c r="L18" s="56">
        <f t="shared" si="13"/>
        <v>346039.60000000003</v>
      </c>
      <c r="M18" s="56">
        <f t="shared" si="13"/>
        <v>309481</v>
      </c>
      <c r="N18" s="56">
        <f t="shared" si="13"/>
        <v>341573.1</v>
      </c>
      <c r="O18" s="56">
        <f t="shared" si="13"/>
        <v>341573.1</v>
      </c>
      <c r="P18" s="57">
        <f t="shared" si="3"/>
        <v>-992627.2</v>
      </c>
      <c r="Q18" s="18">
        <f t="shared" si="1"/>
        <v>0</v>
      </c>
    </row>
    <row r="19" spans="1:18" s="23" customFormat="1" ht="26.25">
      <c r="A19" s="58"/>
      <c r="B19" s="59"/>
      <c r="C19" s="55"/>
      <c r="D19" s="55"/>
      <c r="E19" s="11" t="s">
        <v>295</v>
      </c>
      <c r="F19" s="56">
        <f t="shared" si="4"/>
        <v>31684.699999999997</v>
      </c>
      <c r="G19" s="56">
        <f aca="true" t="shared" si="14" ref="G19:O19">G534+G28+G401</f>
        <v>3338</v>
      </c>
      <c r="H19" s="56">
        <f t="shared" si="14"/>
        <v>8558.6</v>
      </c>
      <c r="I19" s="56">
        <f t="shared" si="14"/>
        <v>3180.3999999999996</v>
      </c>
      <c r="J19" s="56">
        <f t="shared" si="14"/>
        <v>7135.999999999999</v>
      </c>
      <c r="K19" s="56">
        <f t="shared" si="14"/>
        <v>9471.699999999999</v>
      </c>
      <c r="L19" s="56">
        <f t="shared" si="14"/>
        <v>0</v>
      </c>
      <c r="M19" s="56">
        <f t="shared" si="14"/>
        <v>0</v>
      </c>
      <c r="N19" s="56">
        <f t="shared" si="14"/>
        <v>0</v>
      </c>
      <c r="O19" s="56">
        <f t="shared" si="14"/>
        <v>0</v>
      </c>
      <c r="P19" s="57">
        <f t="shared" si="3"/>
        <v>0</v>
      </c>
      <c r="Q19" s="18">
        <f t="shared" si="1"/>
        <v>0</v>
      </c>
      <c r="R19" s="26"/>
    </row>
    <row r="20" spans="1:18" s="23" customFormat="1" ht="12.75">
      <c r="A20" s="58"/>
      <c r="B20" s="59"/>
      <c r="C20" s="55"/>
      <c r="D20" s="55"/>
      <c r="E20" s="11" t="s">
        <v>282</v>
      </c>
      <c r="F20" s="56">
        <f t="shared" si="4"/>
        <v>38175.3</v>
      </c>
      <c r="G20" s="56">
        <f aca="true" t="shared" si="15" ref="G20:O20">G29+G535+G402</f>
        <v>7415.1</v>
      </c>
      <c r="H20" s="56">
        <f t="shared" si="15"/>
        <v>7737.3</v>
      </c>
      <c r="I20" s="56">
        <f t="shared" si="15"/>
        <v>6093</v>
      </c>
      <c r="J20" s="56">
        <f t="shared" si="15"/>
        <v>11031.1</v>
      </c>
      <c r="K20" s="56">
        <f t="shared" si="15"/>
        <v>5898.8</v>
      </c>
      <c r="L20" s="56">
        <f t="shared" si="15"/>
        <v>0</v>
      </c>
      <c r="M20" s="56">
        <f t="shared" si="15"/>
        <v>0</v>
      </c>
      <c r="N20" s="56">
        <f t="shared" si="15"/>
        <v>0</v>
      </c>
      <c r="O20" s="56">
        <f t="shared" si="15"/>
        <v>0</v>
      </c>
      <c r="P20" s="57">
        <f t="shared" si="3"/>
        <v>0</v>
      </c>
      <c r="Q20" s="18">
        <f t="shared" si="1"/>
        <v>0</v>
      </c>
      <c r="R20" s="26"/>
    </row>
    <row r="21" spans="1:18" s="23" customFormat="1" ht="12.75">
      <c r="A21" s="60"/>
      <c r="B21" s="61"/>
      <c r="C21" s="55"/>
      <c r="D21" s="55"/>
      <c r="E21" s="11" t="s">
        <v>18</v>
      </c>
      <c r="F21" s="56">
        <f t="shared" si="4"/>
        <v>2683425.8000000003</v>
      </c>
      <c r="G21" s="56">
        <f aca="true" t="shared" si="16" ref="G21:O21">G30+G400+G489+G533</f>
        <v>254663.7</v>
      </c>
      <c r="H21" s="56">
        <f t="shared" si="16"/>
        <v>248071.19999999998</v>
      </c>
      <c r="I21" s="56">
        <f t="shared" si="16"/>
        <v>259661.90000000005</v>
      </c>
      <c r="J21" s="56">
        <f t="shared" si="16"/>
        <v>282843.2</v>
      </c>
      <c r="K21" s="56">
        <f t="shared" si="16"/>
        <v>299519.00000000006</v>
      </c>
      <c r="L21" s="56">
        <f t="shared" si="16"/>
        <v>346039.60000000003</v>
      </c>
      <c r="M21" s="56">
        <f t="shared" si="16"/>
        <v>309481</v>
      </c>
      <c r="N21" s="56">
        <f t="shared" si="16"/>
        <v>341573.1</v>
      </c>
      <c r="O21" s="56">
        <f t="shared" si="16"/>
        <v>341573.1</v>
      </c>
      <c r="P21" s="57">
        <f t="shared" si="3"/>
        <v>-992627.2000000002</v>
      </c>
      <c r="Q21" s="18">
        <f t="shared" si="1"/>
        <v>0</v>
      </c>
      <c r="R21" s="26"/>
    </row>
    <row r="22" spans="1:21" ht="31.5" customHeight="1">
      <c r="A22" s="123" t="s">
        <v>247</v>
      </c>
      <c r="B22" s="127" t="s">
        <v>415</v>
      </c>
      <c r="C22" s="55" t="s">
        <v>56</v>
      </c>
      <c r="D22" s="55" t="s">
        <v>116</v>
      </c>
      <c r="E22" s="11" t="s">
        <v>244</v>
      </c>
      <c r="F22" s="56">
        <f t="shared" si="4"/>
        <v>2835007.8000000003</v>
      </c>
      <c r="G22" s="14">
        <f aca="true" t="shared" si="17" ref="G22:O22">G23+G27+G26</f>
        <v>290446.19999999995</v>
      </c>
      <c r="H22" s="14">
        <f t="shared" si="17"/>
        <v>242700.9</v>
      </c>
      <c r="I22" s="14">
        <f t="shared" si="17"/>
        <v>301031.50000000006</v>
      </c>
      <c r="J22" s="14">
        <f t="shared" si="17"/>
        <v>270862.4</v>
      </c>
      <c r="K22" s="14">
        <f t="shared" si="17"/>
        <v>270064.5</v>
      </c>
      <c r="L22" s="14">
        <f t="shared" si="17"/>
        <v>392956.5</v>
      </c>
      <c r="M22" s="14">
        <f t="shared" si="17"/>
        <v>538075.6</v>
      </c>
      <c r="N22" s="14">
        <f t="shared" si="17"/>
        <v>264435.1</v>
      </c>
      <c r="O22" s="14">
        <f t="shared" si="17"/>
        <v>264435.1</v>
      </c>
      <c r="P22" s="57">
        <f t="shared" si="3"/>
        <v>-1066945.8000000003</v>
      </c>
      <c r="Q22" s="107">
        <v>251377</v>
      </c>
      <c r="S22" s="27" t="e">
        <f>#REF!+F28</f>
        <v>#REF!</v>
      </c>
      <c r="T22" s="27">
        <f>F24+F30</f>
        <v>2339828.1</v>
      </c>
      <c r="U22" s="27" t="e">
        <f>S22+T22</f>
        <v>#REF!</v>
      </c>
    </row>
    <row r="23" spans="1:17" ht="18.75" customHeight="1">
      <c r="A23" s="129"/>
      <c r="B23" s="130"/>
      <c r="C23" s="55" t="s">
        <v>56</v>
      </c>
      <c r="D23" s="55" t="s">
        <v>116</v>
      </c>
      <c r="E23" s="11" t="s">
        <v>226</v>
      </c>
      <c r="F23" s="56">
        <f t="shared" si="4"/>
        <v>729359.8999999999</v>
      </c>
      <c r="G23" s="14">
        <f>G24+G25</f>
        <v>92279.99999999999</v>
      </c>
      <c r="H23" s="14">
        <f aca="true" t="shared" si="18" ref="H23:O23">H24+H25</f>
        <v>41500.899999999994</v>
      </c>
      <c r="I23" s="14">
        <f t="shared" si="18"/>
        <v>97024.20000000001</v>
      </c>
      <c r="J23" s="14">
        <f t="shared" si="18"/>
        <v>49637.5</v>
      </c>
      <c r="K23" s="14">
        <f t="shared" si="18"/>
        <v>23475.4</v>
      </c>
      <c r="L23" s="14">
        <f t="shared" si="18"/>
        <v>122485.3</v>
      </c>
      <c r="M23" s="14">
        <f t="shared" si="18"/>
        <v>302956.6</v>
      </c>
      <c r="N23" s="14">
        <f t="shared" si="18"/>
        <v>0</v>
      </c>
      <c r="O23" s="14">
        <f t="shared" si="18"/>
        <v>0</v>
      </c>
      <c r="P23" s="57">
        <f t="shared" si="3"/>
        <v>-302956.59999999986</v>
      </c>
      <c r="Q23" s="107">
        <v>30572.1</v>
      </c>
    </row>
    <row r="24" spans="1:18" s="23" customFormat="1" ht="12.75">
      <c r="A24" s="129"/>
      <c r="B24" s="130"/>
      <c r="C24" s="55" t="s">
        <v>56</v>
      </c>
      <c r="D24" s="55" t="s">
        <v>116</v>
      </c>
      <c r="E24" s="11" t="s">
        <v>18</v>
      </c>
      <c r="F24" s="56">
        <f t="shared" si="4"/>
        <v>301036.6</v>
      </c>
      <c r="G24" s="14">
        <f aca="true" t="shared" si="19" ref="G24:O24">G314+G75</f>
        <v>92279.99999999999</v>
      </c>
      <c r="H24" s="14">
        <f t="shared" si="19"/>
        <v>25490.399999999998</v>
      </c>
      <c r="I24" s="14">
        <f t="shared" si="19"/>
        <v>48777.9</v>
      </c>
      <c r="J24" s="14">
        <f t="shared" si="19"/>
        <v>31223.800000000003</v>
      </c>
      <c r="K24" s="14">
        <f t="shared" si="19"/>
        <v>18598.4</v>
      </c>
      <c r="L24" s="14">
        <f t="shared" si="19"/>
        <v>6709.5</v>
      </c>
      <c r="M24" s="14">
        <f t="shared" si="19"/>
        <v>77956.6</v>
      </c>
      <c r="N24" s="14">
        <f t="shared" si="19"/>
        <v>0</v>
      </c>
      <c r="O24" s="14">
        <f t="shared" si="19"/>
        <v>0</v>
      </c>
      <c r="P24" s="57">
        <f t="shared" si="3"/>
        <v>-77956.59999999998</v>
      </c>
      <c r="Q24" s="18">
        <f>O24+N24+M24+L24+K24+J24+I24+H24+G24-F24</f>
        <v>0</v>
      </c>
      <c r="R24" s="28">
        <f>F24+F30+F26</f>
        <v>2341254.4</v>
      </c>
    </row>
    <row r="25" spans="1:19" s="23" customFormat="1" ht="12.75">
      <c r="A25" s="129"/>
      <c r="B25" s="130"/>
      <c r="C25" s="55" t="s">
        <v>56</v>
      </c>
      <c r="D25" s="55" t="s">
        <v>116</v>
      </c>
      <c r="E25" s="11" t="s">
        <v>38</v>
      </c>
      <c r="F25" s="56">
        <f t="shared" si="4"/>
        <v>428323.3</v>
      </c>
      <c r="G25" s="14">
        <f>G76+G325+G327</f>
        <v>0</v>
      </c>
      <c r="H25" s="14">
        <f aca="true" t="shared" si="20" ref="H25:O25">H76+H325+H327</f>
        <v>16010.5</v>
      </c>
      <c r="I25" s="14">
        <f t="shared" si="20"/>
        <v>48246.3</v>
      </c>
      <c r="J25" s="14">
        <f t="shared" si="20"/>
        <v>18413.699999999997</v>
      </c>
      <c r="K25" s="14">
        <f t="shared" si="20"/>
        <v>4877</v>
      </c>
      <c r="L25" s="14">
        <f t="shared" si="20"/>
        <v>115775.8</v>
      </c>
      <c r="M25" s="14">
        <f t="shared" si="20"/>
        <v>225000</v>
      </c>
      <c r="N25" s="14">
        <f t="shared" si="20"/>
        <v>0</v>
      </c>
      <c r="O25" s="14">
        <f t="shared" si="20"/>
        <v>0</v>
      </c>
      <c r="P25" s="57">
        <f t="shared" si="3"/>
        <v>-225000</v>
      </c>
      <c r="Q25" s="18">
        <f t="shared" si="1"/>
        <v>0</v>
      </c>
      <c r="R25" s="28">
        <f>F25+F28</f>
        <v>457516</v>
      </c>
      <c r="S25" s="29">
        <f>F25+F28</f>
        <v>457516</v>
      </c>
    </row>
    <row r="26" spans="1:18" s="23" customFormat="1" ht="26.25">
      <c r="A26" s="129"/>
      <c r="B26" s="130"/>
      <c r="C26" s="62" t="s">
        <v>56</v>
      </c>
      <c r="D26" s="63" t="s">
        <v>116</v>
      </c>
      <c r="E26" s="11" t="s">
        <v>438</v>
      </c>
      <c r="F26" s="56">
        <f t="shared" si="4"/>
        <v>1426.3</v>
      </c>
      <c r="G26" s="14">
        <f aca="true" t="shared" si="21" ref="G26:O26">G77</f>
        <v>0</v>
      </c>
      <c r="H26" s="14">
        <f t="shared" si="21"/>
        <v>0</v>
      </c>
      <c r="I26" s="14">
        <f t="shared" si="21"/>
        <v>1426.3</v>
      </c>
      <c r="J26" s="14">
        <f t="shared" si="21"/>
        <v>0</v>
      </c>
      <c r="K26" s="14">
        <f t="shared" si="21"/>
        <v>0</v>
      </c>
      <c r="L26" s="14">
        <f t="shared" si="21"/>
        <v>0</v>
      </c>
      <c r="M26" s="14">
        <f t="shared" si="21"/>
        <v>0</v>
      </c>
      <c r="N26" s="14">
        <f t="shared" si="21"/>
        <v>0</v>
      </c>
      <c r="O26" s="14">
        <f t="shared" si="21"/>
        <v>0</v>
      </c>
      <c r="P26" s="57">
        <f t="shared" si="3"/>
        <v>0</v>
      </c>
      <c r="Q26" s="18">
        <f t="shared" si="1"/>
        <v>0</v>
      </c>
      <c r="R26" s="28"/>
    </row>
    <row r="27" spans="1:18" ht="12.75">
      <c r="A27" s="129"/>
      <c r="B27" s="130"/>
      <c r="C27" s="55" t="s">
        <v>56</v>
      </c>
      <c r="D27" s="55" t="s">
        <v>116</v>
      </c>
      <c r="E27" s="11" t="s">
        <v>225</v>
      </c>
      <c r="F27" s="56">
        <f t="shared" si="4"/>
        <v>2104221.6</v>
      </c>
      <c r="G27" s="14">
        <f aca="true" t="shared" si="22" ref="G27:O27">G30+G28+G29</f>
        <v>198166.19999999998</v>
      </c>
      <c r="H27" s="14">
        <f>H30+H28+H29</f>
        <v>201200</v>
      </c>
      <c r="I27" s="14">
        <f t="shared" si="22"/>
        <v>202581.00000000003</v>
      </c>
      <c r="J27" s="14">
        <f t="shared" si="22"/>
        <v>221224.9</v>
      </c>
      <c r="K27" s="14">
        <f t="shared" si="22"/>
        <v>246589.1</v>
      </c>
      <c r="L27" s="14">
        <f>L30+L28+L29</f>
        <v>270471.2</v>
      </c>
      <c r="M27" s="14">
        <f t="shared" si="22"/>
        <v>235119</v>
      </c>
      <c r="N27" s="14">
        <f t="shared" si="22"/>
        <v>264435.1</v>
      </c>
      <c r="O27" s="14">
        <f t="shared" si="22"/>
        <v>264435.1</v>
      </c>
      <c r="P27" s="57">
        <f t="shared" si="3"/>
        <v>-763989.2</v>
      </c>
      <c r="Q27" s="18">
        <f t="shared" si="1"/>
        <v>0</v>
      </c>
      <c r="R27" s="30" t="e">
        <f>#REF!+#REF!</f>
        <v>#REF!</v>
      </c>
    </row>
    <row r="28" spans="1:17" ht="66.75" customHeight="1">
      <c r="A28" s="129"/>
      <c r="B28" s="130"/>
      <c r="C28" s="55" t="s">
        <v>56</v>
      </c>
      <c r="D28" s="55" t="s">
        <v>116</v>
      </c>
      <c r="E28" s="11" t="s">
        <v>295</v>
      </c>
      <c r="F28" s="56">
        <f t="shared" si="4"/>
        <v>29192.699999999997</v>
      </c>
      <c r="G28" s="14">
        <f>G34+G73</f>
        <v>2703.9</v>
      </c>
      <c r="H28" s="14">
        <f>H34+H73</f>
        <v>8494.7</v>
      </c>
      <c r="I28" s="14">
        <f>I34+I73+I375</f>
        <v>2722.7999999999997</v>
      </c>
      <c r="J28" s="14">
        <f aca="true" t="shared" si="23" ref="J28:O28">J34+J73</f>
        <v>6450.9</v>
      </c>
      <c r="K28" s="14">
        <f t="shared" si="23"/>
        <v>8820.4</v>
      </c>
      <c r="L28" s="14">
        <f t="shared" si="23"/>
        <v>0</v>
      </c>
      <c r="M28" s="14">
        <f t="shared" si="23"/>
        <v>0</v>
      </c>
      <c r="N28" s="14">
        <f t="shared" si="23"/>
        <v>0</v>
      </c>
      <c r="O28" s="14">
        <f t="shared" si="23"/>
        <v>0</v>
      </c>
      <c r="P28" s="57">
        <f t="shared" si="3"/>
        <v>0</v>
      </c>
      <c r="Q28" s="18">
        <f t="shared" si="1"/>
        <v>0</v>
      </c>
    </row>
    <row r="29" spans="1:17" ht="12.75">
      <c r="A29" s="129"/>
      <c r="B29" s="130"/>
      <c r="C29" s="55" t="s">
        <v>56</v>
      </c>
      <c r="D29" s="55" t="s">
        <v>116</v>
      </c>
      <c r="E29" s="11" t="s">
        <v>282</v>
      </c>
      <c r="F29" s="56">
        <f>G29+H29+I29+J29+K29+L29+M29+N29+O29</f>
        <v>36237.399999999994</v>
      </c>
      <c r="G29" s="14">
        <f>G33+G72+G376+G387</f>
        <v>7310.3</v>
      </c>
      <c r="H29" s="14">
        <f>H33+H72+H376+H387</f>
        <v>7690.5</v>
      </c>
      <c r="I29" s="14">
        <f>I33+I72+I376+I387</f>
        <v>6093</v>
      </c>
      <c r="J29" s="14">
        <f aca="true" t="shared" si="24" ref="J29:O29">J33+J72+J394</f>
        <v>9275.4</v>
      </c>
      <c r="K29" s="14">
        <f t="shared" si="24"/>
        <v>5868.2</v>
      </c>
      <c r="L29" s="14">
        <f t="shared" si="24"/>
        <v>0</v>
      </c>
      <c r="M29" s="14">
        <f t="shared" si="24"/>
        <v>0</v>
      </c>
      <c r="N29" s="14">
        <f t="shared" si="24"/>
        <v>0</v>
      </c>
      <c r="O29" s="14">
        <f t="shared" si="24"/>
        <v>0</v>
      </c>
      <c r="P29" s="57">
        <f t="shared" si="3"/>
        <v>0</v>
      </c>
      <c r="Q29" s="18">
        <f t="shared" si="1"/>
        <v>0</v>
      </c>
    </row>
    <row r="30" spans="1:17" ht="39.75" customHeight="1">
      <c r="A30" s="124"/>
      <c r="B30" s="128"/>
      <c r="C30" s="55" t="s">
        <v>56</v>
      </c>
      <c r="D30" s="55" t="s">
        <v>116</v>
      </c>
      <c r="E30" s="11" t="s">
        <v>18</v>
      </c>
      <c r="F30" s="56">
        <f t="shared" si="4"/>
        <v>2038791.5</v>
      </c>
      <c r="G30" s="14">
        <f aca="true" t="shared" si="25" ref="G30:O30">G35+G71+G282</f>
        <v>188152</v>
      </c>
      <c r="H30" s="14">
        <f t="shared" si="25"/>
        <v>185014.8</v>
      </c>
      <c r="I30" s="14">
        <f t="shared" si="25"/>
        <v>193765.20000000004</v>
      </c>
      <c r="J30" s="14">
        <f t="shared" si="25"/>
        <v>205498.6</v>
      </c>
      <c r="K30" s="14">
        <f>K35+K71+K282</f>
        <v>231900.5</v>
      </c>
      <c r="L30" s="14">
        <f>L35+L71+L282</f>
        <v>270471.2</v>
      </c>
      <c r="M30" s="14">
        <f t="shared" si="25"/>
        <v>235119</v>
      </c>
      <c r="N30" s="14">
        <f t="shared" si="25"/>
        <v>264435.1</v>
      </c>
      <c r="O30" s="14">
        <f t="shared" si="25"/>
        <v>264435.1</v>
      </c>
      <c r="P30" s="57">
        <f t="shared" si="3"/>
        <v>-763989.2</v>
      </c>
      <c r="Q30" s="18">
        <f t="shared" si="1"/>
        <v>0</v>
      </c>
    </row>
    <row r="31" spans="1:17" ht="12.75" outlineLevel="1">
      <c r="A31" s="123" t="s">
        <v>248</v>
      </c>
      <c r="B31" s="127" t="s">
        <v>598</v>
      </c>
      <c r="C31" s="55" t="s">
        <v>56</v>
      </c>
      <c r="D31" s="55" t="s">
        <v>360</v>
      </c>
      <c r="E31" s="11" t="s">
        <v>244</v>
      </c>
      <c r="F31" s="56">
        <f t="shared" si="4"/>
        <v>1897215.8000000003</v>
      </c>
      <c r="G31" s="14">
        <f aca="true" t="shared" si="26" ref="G31:O31">G32</f>
        <v>174249</v>
      </c>
      <c r="H31" s="14">
        <f t="shared" si="26"/>
        <v>171405.9</v>
      </c>
      <c r="I31" s="14">
        <f t="shared" si="26"/>
        <v>186268.70000000004</v>
      </c>
      <c r="J31" s="14">
        <f t="shared" si="26"/>
        <v>201861.60000000003</v>
      </c>
      <c r="K31" s="14">
        <f t="shared" si="26"/>
        <v>222694.9</v>
      </c>
      <c r="L31" s="14">
        <f t="shared" si="26"/>
        <v>230548.4</v>
      </c>
      <c r="M31" s="14">
        <f t="shared" si="26"/>
        <v>231172.5</v>
      </c>
      <c r="N31" s="14">
        <f t="shared" si="26"/>
        <v>239507.40000000002</v>
      </c>
      <c r="O31" s="14">
        <f t="shared" si="26"/>
        <v>239507.40000000002</v>
      </c>
      <c r="P31" s="57">
        <f t="shared" si="3"/>
        <v>-710187.3000000003</v>
      </c>
      <c r="Q31" s="18">
        <f t="shared" si="1"/>
        <v>0</v>
      </c>
    </row>
    <row r="32" spans="1:19" ht="12.75" outlineLevel="1">
      <c r="A32" s="129"/>
      <c r="B32" s="130"/>
      <c r="C32" s="55" t="s">
        <v>56</v>
      </c>
      <c r="D32" s="55" t="s">
        <v>360</v>
      </c>
      <c r="E32" s="11" t="s">
        <v>225</v>
      </c>
      <c r="F32" s="56">
        <f t="shared" si="4"/>
        <v>1897215.8000000003</v>
      </c>
      <c r="G32" s="14">
        <f>G38+G41+G45+G51+G53+G48+G61+G63+G52</f>
        <v>174249</v>
      </c>
      <c r="H32" s="14">
        <f>H38+H41+H45+H51+H53+H48+H61+H63+H52</f>
        <v>171405.9</v>
      </c>
      <c r="I32" s="14">
        <f>I38+I41+I45+I51+I53+I48+I61+I63+I52</f>
        <v>186268.70000000004</v>
      </c>
      <c r="J32" s="14">
        <f>J38+J41+J45+J51+J53+J48+J61+J63+J52</f>
        <v>201861.60000000003</v>
      </c>
      <c r="K32" s="14">
        <f>K38+K41+K45+K51+K53+K48+K61+K63+K52</f>
        <v>222694.9</v>
      </c>
      <c r="L32" s="14">
        <f>L33+L34+L35</f>
        <v>230548.4</v>
      </c>
      <c r="M32" s="14">
        <f>M33+M34+M35</f>
        <v>231172.5</v>
      </c>
      <c r="N32" s="14">
        <f>N33+N34+N35</f>
        <v>239507.40000000002</v>
      </c>
      <c r="O32" s="14">
        <f>O33+O34+O35</f>
        <v>239507.40000000002</v>
      </c>
      <c r="P32" s="57">
        <f t="shared" si="3"/>
        <v>-710187.3000000003</v>
      </c>
      <c r="Q32" s="18">
        <f t="shared" si="1"/>
        <v>0</v>
      </c>
      <c r="S32" s="15" t="e">
        <f>#REF!+#REF!</f>
        <v>#REF!</v>
      </c>
    </row>
    <row r="33" spans="1:17" ht="12.75" outlineLevel="2">
      <c r="A33" s="129"/>
      <c r="B33" s="130"/>
      <c r="C33" s="63" t="s">
        <v>56</v>
      </c>
      <c r="D33" s="55" t="s">
        <v>360</v>
      </c>
      <c r="E33" s="11" t="s">
        <v>282</v>
      </c>
      <c r="F33" s="56">
        <f t="shared" si="4"/>
        <v>28498</v>
      </c>
      <c r="G33" s="14">
        <f>G64</f>
        <v>7093.3</v>
      </c>
      <c r="H33" s="14">
        <f aca="true" t="shared" si="27" ref="H33:O34">H64</f>
        <v>7270.8</v>
      </c>
      <c r="I33" s="14">
        <f t="shared" si="27"/>
        <v>5021.6</v>
      </c>
      <c r="J33" s="14">
        <f t="shared" si="27"/>
        <v>4275.4</v>
      </c>
      <c r="K33" s="14">
        <f t="shared" si="27"/>
        <v>4836.9</v>
      </c>
      <c r="L33" s="14">
        <f t="shared" si="27"/>
        <v>0</v>
      </c>
      <c r="M33" s="14">
        <f t="shared" si="27"/>
        <v>0</v>
      </c>
      <c r="N33" s="14">
        <f t="shared" si="27"/>
        <v>0</v>
      </c>
      <c r="O33" s="14">
        <f t="shared" si="27"/>
        <v>0</v>
      </c>
      <c r="P33" s="57">
        <f t="shared" si="3"/>
        <v>0</v>
      </c>
      <c r="Q33" s="18">
        <f t="shared" si="1"/>
        <v>0</v>
      </c>
    </row>
    <row r="34" spans="1:17" ht="12.75" outlineLevel="2">
      <c r="A34" s="129"/>
      <c r="B34" s="130"/>
      <c r="C34" s="63" t="s">
        <v>56</v>
      </c>
      <c r="D34" s="55" t="s">
        <v>360</v>
      </c>
      <c r="E34" s="11" t="s">
        <v>38</v>
      </c>
      <c r="F34" s="56">
        <f t="shared" si="4"/>
        <v>10207.499999999998</v>
      </c>
      <c r="G34" s="14">
        <f>G65</f>
        <v>2623.6</v>
      </c>
      <c r="H34" s="14">
        <f t="shared" si="27"/>
        <v>2689.2</v>
      </c>
      <c r="I34" s="14">
        <f t="shared" si="27"/>
        <v>1857.3</v>
      </c>
      <c r="J34" s="14">
        <f t="shared" si="27"/>
        <v>1425.1</v>
      </c>
      <c r="K34" s="14">
        <f t="shared" si="27"/>
        <v>1612.3</v>
      </c>
      <c r="L34" s="14">
        <f t="shared" si="27"/>
        <v>0</v>
      </c>
      <c r="M34" s="14">
        <f t="shared" si="27"/>
        <v>0</v>
      </c>
      <c r="N34" s="14">
        <f t="shared" si="27"/>
        <v>0</v>
      </c>
      <c r="O34" s="14">
        <f t="shared" si="27"/>
        <v>0</v>
      </c>
      <c r="P34" s="57">
        <f t="shared" si="3"/>
        <v>0</v>
      </c>
      <c r="Q34" s="18">
        <f t="shared" si="1"/>
        <v>0</v>
      </c>
    </row>
    <row r="35" spans="1:17" ht="12.75" outlineLevel="2">
      <c r="A35" s="124"/>
      <c r="B35" s="128"/>
      <c r="C35" s="63" t="s">
        <v>56</v>
      </c>
      <c r="D35" s="55" t="s">
        <v>360</v>
      </c>
      <c r="E35" s="11" t="s">
        <v>18</v>
      </c>
      <c r="F35" s="56">
        <f t="shared" si="4"/>
        <v>1858510.2999999998</v>
      </c>
      <c r="G35" s="14">
        <f>G38+G41+G45+G48+G53+G61+G66+G51+G52</f>
        <v>164532.1</v>
      </c>
      <c r="H35" s="14">
        <f>H38+H41+H45+H48+H53+H61+H66+H51+H52</f>
        <v>161445.9</v>
      </c>
      <c r="I35" s="14">
        <f>I38+I41+I45+I48+I53+I61+I66+I51+I52</f>
        <v>179389.80000000002</v>
      </c>
      <c r="J35" s="14">
        <f>J38+J41+J45+J48+J53+J61+J66+J51+J52</f>
        <v>196161.1</v>
      </c>
      <c r="K35" s="14">
        <f>K38+K41+K45+K48+K53+K61+K66+K51+K52</f>
        <v>216245.69999999998</v>
      </c>
      <c r="L35" s="14">
        <f>L38+L41+L45+L48+L53+L61+L66+L51+L52+L68</f>
        <v>230548.4</v>
      </c>
      <c r="M35" s="14">
        <f>M38+M41+M45+M48+M53+M61+M66+M51+M52+M68</f>
        <v>231172.5</v>
      </c>
      <c r="N35" s="14">
        <f>N38+N41+N45+N48+N53+N61+N66+N51+N52+N68</f>
        <v>239507.40000000002</v>
      </c>
      <c r="O35" s="14">
        <f>O38+O41+O45+O48+O53+O61+O66+O51+O52+O68</f>
        <v>239507.40000000002</v>
      </c>
      <c r="P35" s="57">
        <f t="shared" si="3"/>
        <v>-710187.2999999998</v>
      </c>
      <c r="Q35" s="18">
        <f t="shared" si="1"/>
        <v>0</v>
      </c>
    </row>
    <row r="36" spans="1:17" ht="45.75" customHeight="1" outlineLevel="2">
      <c r="A36" s="64" t="s">
        <v>561</v>
      </c>
      <c r="B36" s="65" t="s">
        <v>416</v>
      </c>
      <c r="C36" s="55" t="s">
        <v>56</v>
      </c>
      <c r="D36" s="55" t="s">
        <v>57</v>
      </c>
      <c r="E36" s="11" t="s">
        <v>244</v>
      </c>
      <c r="F36" s="56">
        <f t="shared" si="4"/>
        <v>1853662.2999999998</v>
      </c>
      <c r="G36" s="14">
        <f aca="true" t="shared" si="28" ref="G36:O36">G37</f>
        <v>163452.40000000002</v>
      </c>
      <c r="H36" s="14">
        <f t="shared" si="28"/>
        <v>160295.1</v>
      </c>
      <c r="I36" s="14">
        <f t="shared" si="28"/>
        <v>178625.50000000003</v>
      </c>
      <c r="J36" s="14">
        <f t="shared" si="28"/>
        <v>195527.7</v>
      </c>
      <c r="K36" s="14">
        <f t="shared" si="28"/>
        <v>215529.09999999998</v>
      </c>
      <c r="L36" s="14">
        <f t="shared" si="28"/>
        <v>230045.2</v>
      </c>
      <c r="M36" s="14">
        <f t="shared" si="28"/>
        <v>231172.5</v>
      </c>
      <c r="N36" s="14">
        <f t="shared" si="28"/>
        <v>239507.40000000002</v>
      </c>
      <c r="O36" s="14">
        <f t="shared" si="28"/>
        <v>239507.40000000002</v>
      </c>
      <c r="P36" s="57">
        <f t="shared" si="3"/>
        <v>-710187.2999999998</v>
      </c>
      <c r="Q36" s="18">
        <f t="shared" si="1"/>
        <v>0</v>
      </c>
    </row>
    <row r="37" spans="1:17" ht="41.25" customHeight="1" outlineLevel="2">
      <c r="A37" s="66"/>
      <c r="B37" s="61"/>
      <c r="C37" s="63" t="s">
        <v>56</v>
      </c>
      <c r="D37" s="62" t="s">
        <v>57</v>
      </c>
      <c r="E37" s="11" t="s">
        <v>225</v>
      </c>
      <c r="F37" s="56">
        <f t="shared" si="4"/>
        <v>1853662.2999999998</v>
      </c>
      <c r="G37" s="14">
        <f aca="true" t="shared" si="29" ref="G37:O37">G38+G41+G45+G48+G51+G52+G53+G61</f>
        <v>163452.40000000002</v>
      </c>
      <c r="H37" s="14">
        <f t="shared" si="29"/>
        <v>160295.1</v>
      </c>
      <c r="I37" s="14">
        <f t="shared" si="29"/>
        <v>178625.50000000003</v>
      </c>
      <c r="J37" s="14">
        <f t="shared" si="29"/>
        <v>195527.7</v>
      </c>
      <c r="K37" s="14">
        <f t="shared" si="29"/>
        <v>215529.09999999998</v>
      </c>
      <c r="L37" s="14">
        <f t="shared" si="29"/>
        <v>230045.2</v>
      </c>
      <c r="M37" s="14">
        <f t="shared" si="29"/>
        <v>231172.5</v>
      </c>
      <c r="N37" s="14">
        <f t="shared" si="29"/>
        <v>239507.40000000002</v>
      </c>
      <c r="O37" s="14">
        <f t="shared" si="29"/>
        <v>239507.40000000002</v>
      </c>
      <c r="P37" s="57">
        <f t="shared" si="3"/>
        <v>-710187.2999999998</v>
      </c>
      <c r="Q37" s="18">
        <f t="shared" si="1"/>
        <v>0</v>
      </c>
    </row>
    <row r="38" spans="1:18" s="23" customFormat="1" ht="39.75" customHeight="1" outlineLevel="2">
      <c r="A38" s="123" t="s">
        <v>439</v>
      </c>
      <c r="B38" s="127" t="s">
        <v>33</v>
      </c>
      <c r="C38" s="136" t="s">
        <v>56</v>
      </c>
      <c r="D38" s="136" t="s">
        <v>57</v>
      </c>
      <c r="E38" s="11" t="s">
        <v>244</v>
      </c>
      <c r="F38" s="56">
        <f t="shared" si="4"/>
        <v>409490.4</v>
      </c>
      <c r="G38" s="14">
        <f aca="true" t="shared" si="30" ref="G38:O38">G39+G40</f>
        <v>37051.8</v>
      </c>
      <c r="H38" s="14">
        <f t="shared" si="30"/>
        <v>38241.5</v>
      </c>
      <c r="I38" s="14">
        <f t="shared" si="30"/>
        <v>40113.4</v>
      </c>
      <c r="J38" s="14">
        <f t="shared" si="30"/>
        <v>46734.3</v>
      </c>
      <c r="K38" s="14">
        <f t="shared" si="30"/>
        <v>50368.6</v>
      </c>
      <c r="L38" s="14">
        <f t="shared" si="30"/>
        <v>48491.2</v>
      </c>
      <c r="M38" s="14">
        <f t="shared" si="30"/>
        <v>48571.2</v>
      </c>
      <c r="N38" s="14">
        <f t="shared" si="30"/>
        <v>49959.2</v>
      </c>
      <c r="O38" s="14">
        <f t="shared" si="30"/>
        <v>49959.2</v>
      </c>
      <c r="P38" s="57">
        <f t="shared" si="3"/>
        <v>-148489.60000000003</v>
      </c>
      <c r="Q38" s="18">
        <f t="shared" si="1"/>
        <v>0</v>
      </c>
      <c r="R38" s="26"/>
    </row>
    <row r="39" spans="1:18" s="23" customFormat="1" ht="88.5" customHeight="1" outlineLevel="2">
      <c r="A39" s="129"/>
      <c r="B39" s="130"/>
      <c r="C39" s="137"/>
      <c r="D39" s="137"/>
      <c r="E39" s="11" t="s">
        <v>551</v>
      </c>
      <c r="F39" s="56">
        <f t="shared" si="4"/>
        <v>402646.80000000005</v>
      </c>
      <c r="G39" s="14">
        <v>30208.2</v>
      </c>
      <c r="H39" s="14">
        <f>38213.6+27.9</f>
        <v>38241.5</v>
      </c>
      <c r="I39" s="14">
        <v>40113.4</v>
      </c>
      <c r="J39" s="14">
        <f>43847.8+2886.5</f>
        <v>46734.3</v>
      </c>
      <c r="K39" s="14">
        <f>50368.6</f>
        <v>50368.6</v>
      </c>
      <c r="L39" s="14">
        <v>48491.2</v>
      </c>
      <c r="M39" s="14">
        <v>48571.2</v>
      </c>
      <c r="N39" s="14">
        <v>49959.2</v>
      </c>
      <c r="O39" s="14">
        <v>49959.2</v>
      </c>
      <c r="P39" s="57">
        <f t="shared" si="3"/>
        <v>-148489.60000000006</v>
      </c>
      <c r="Q39" s="18">
        <f t="shared" si="1"/>
        <v>0</v>
      </c>
      <c r="R39" s="26"/>
    </row>
    <row r="40" spans="1:18" s="23" customFormat="1" ht="105" customHeight="1" outlineLevel="2">
      <c r="A40" s="124"/>
      <c r="B40" s="128"/>
      <c r="C40" s="140"/>
      <c r="D40" s="140"/>
      <c r="E40" s="11" t="s">
        <v>562</v>
      </c>
      <c r="F40" s="56">
        <f t="shared" si="4"/>
        <v>6843.6</v>
      </c>
      <c r="G40" s="14">
        <v>6843.6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57">
        <f t="shared" si="3"/>
        <v>0</v>
      </c>
      <c r="Q40" s="18">
        <f t="shared" si="1"/>
        <v>0</v>
      </c>
      <c r="R40" s="26"/>
    </row>
    <row r="41" spans="1:18" s="23" customFormat="1" ht="36.75" customHeight="1" outlineLevel="2">
      <c r="A41" s="67" t="s">
        <v>440</v>
      </c>
      <c r="B41" s="54" t="s">
        <v>32</v>
      </c>
      <c r="C41" s="53" t="s">
        <v>56</v>
      </c>
      <c r="D41" s="53" t="s">
        <v>57</v>
      </c>
      <c r="E41" s="11" t="s">
        <v>244</v>
      </c>
      <c r="F41" s="56">
        <f t="shared" si="4"/>
        <v>431555.39999999997</v>
      </c>
      <c r="G41" s="14">
        <f aca="true" t="shared" si="31" ref="G41:O41">G42+G43+G44</f>
        <v>33717.2</v>
      </c>
      <c r="H41" s="14">
        <f t="shared" si="31"/>
        <v>34084.7</v>
      </c>
      <c r="I41" s="14">
        <f t="shared" si="31"/>
        <v>39068.4</v>
      </c>
      <c r="J41" s="14">
        <f t="shared" si="31"/>
        <v>42340.8</v>
      </c>
      <c r="K41" s="14">
        <f t="shared" si="31"/>
        <v>51188.299999999996</v>
      </c>
      <c r="L41" s="14">
        <f t="shared" si="31"/>
        <v>56952.8</v>
      </c>
      <c r="M41" s="14">
        <f t="shared" si="31"/>
        <v>57137.8</v>
      </c>
      <c r="N41" s="14">
        <f t="shared" si="31"/>
        <v>58532.7</v>
      </c>
      <c r="O41" s="14">
        <f t="shared" si="31"/>
        <v>58532.7</v>
      </c>
      <c r="P41" s="57">
        <f t="shared" si="3"/>
        <v>-174203.19999999995</v>
      </c>
      <c r="Q41" s="18">
        <f t="shared" si="1"/>
        <v>0</v>
      </c>
      <c r="R41" s="26"/>
    </row>
    <row r="42" spans="1:18" s="23" customFormat="1" ht="204" customHeight="1" outlineLevel="2">
      <c r="A42" s="68"/>
      <c r="B42" s="61"/>
      <c r="C42" s="60"/>
      <c r="D42" s="60"/>
      <c r="E42" s="11" t="s">
        <v>499</v>
      </c>
      <c r="F42" s="56">
        <f t="shared" si="4"/>
        <v>380718.60000000003</v>
      </c>
      <c r="G42" s="14">
        <v>21491.7</v>
      </c>
      <c r="H42" s="14">
        <v>22718.6</v>
      </c>
      <c r="I42" s="14">
        <v>26436.8</v>
      </c>
      <c r="J42" s="14">
        <v>28455.9</v>
      </c>
      <c r="K42" s="14">
        <f>45781.6+4678</f>
        <v>50459.6</v>
      </c>
      <c r="L42" s="14">
        <v>56952.8</v>
      </c>
      <c r="M42" s="14">
        <v>57137.8</v>
      </c>
      <c r="N42" s="14">
        <v>58532.7</v>
      </c>
      <c r="O42" s="14">
        <v>58532.7</v>
      </c>
      <c r="P42" s="57">
        <f t="shared" si="3"/>
        <v>-174203.20000000004</v>
      </c>
      <c r="Q42" s="18">
        <f t="shared" si="1"/>
        <v>0</v>
      </c>
      <c r="R42" s="26"/>
    </row>
    <row r="43" spans="1:18" s="23" customFormat="1" ht="105" customHeight="1" outlineLevel="2">
      <c r="A43" s="67"/>
      <c r="B43" s="54"/>
      <c r="C43" s="53"/>
      <c r="D43" s="53"/>
      <c r="E43" s="11" t="s">
        <v>191</v>
      </c>
      <c r="F43" s="56">
        <f t="shared" si="4"/>
        <v>43255.799999999996</v>
      </c>
      <c r="G43" s="14">
        <v>4644.5</v>
      </c>
      <c r="H43" s="14">
        <v>11366.1</v>
      </c>
      <c r="I43" s="14">
        <v>12631.6</v>
      </c>
      <c r="J43" s="14">
        <f>13459.6+425.3</f>
        <v>13884.9</v>
      </c>
      <c r="K43" s="14">
        <v>728.7</v>
      </c>
      <c r="L43" s="14">
        <v>0</v>
      </c>
      <c r="M43" s="14">
        <v>0</v>
      </c>
      <c r="N43" s="14">
        <v>0</v>
      </c>
      <c r="O43" s="14">
        <v>0</v>
      </c>
      <c r="P43" s="57">
        <f t="shared" si="3"/>
        <v>0</v>
      </c>
      <c r="Q43" s="18">
        <f t="shared" si="1"/>
        <v>0</v>
      </c>
      <c r="R43" s="26"/>
    </row>
    <row r="44" spans="1:18" s="23" customFormat="1" ht="92.25" outlineLevel="2">
      <c r="A44" s="68"/>
      <c r="B44" s="61"/>
      <c r="C44" s="60"/>
      <c r="D44" s="60"/>
      <c r="E44" s="11" t="s">
        <v>231</v>
      </c>
      <c r="F44" s="56">
        <f t="shared" si="4"/>
        <v>7581</v>
      </c>
      <c r="G44" s="14">
        <v>7581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57">
        <f t="shared" si="3"/>
        <v>0</v>
      </c>
      <c r="Q44" s="18">
        <f t="shared" si="1"/>
        <v>0</v>
      </c>
      <c r="R44" s="26"/>
    </row>
    <row r="45" spans="1:18" s="23" customFormat="1" ht="29.25" customHeight="1" outlineLevel="2">
      <c r="A45" s="123" t="s">
        <v>441</v>
      </c>
      <c r="B45" s="127" t="s">
        <v>30</v>
      </c>
      <c r="C45" s="136" t="s">
        <v>56</v>
      </c>
      <c r="D45" s="136" t="s">
        <v>57</v>
      </c>
      <c r="E45" s="11" t="s">
        <v>244</v>
      </c>
      <c r="F45" s="56">
        <f t="shared" si="4"/>
        <v>588238.7999999999</v>
      </c>
      <c r="G45" s="14">
        <f aca="true" t="shared" si="32" ref="G45:O45">G46+G47</f>
        <v>52104.3</v>
      </c>
      <c r="H45" s="14">
        <f t="shared" si="32"/>
        <v>50704.90000000001</v>
      </c>
      <c r="I45" s="14">
        <f t="shared" si="32"/>
        <v>55430.600000000006</v>
      </c>
      <c r="J45" s="14">
        <f t="shared" si="32"/>
        <v>61600.8</v>
      </c>
      <c r="K45" s="14">
        <f t="shared" si="32"/>
        <v>66061.4</v>
      </c>
      <c r="L45" s="14">
        <f t="shared" si="32"/>
        <v>73665.5</v>
      </c>
      <c r="M45" s="14">
        <f t="shared" si="32"/>
        <v>74373.1</v>
      </c>
      <c r="N45" s="14">
        <f t="shared" si="32"/>
        <v>77149.1</v>
      </c>
      <c r="O45" s="14">
        <f t="shared" si="32"/>
        <v>77149.1</v>
      </c>
      <c r="P45" s="57">
        <f t="shared" si="3"/>
        <v>-228671.29999999993</v>
      </c>
      <c r="Q45" s="18">
        <f t="shared" si="1"/>
        <v>0</v>
      </c>
      <c r="R45" s="26"/>
    </row>
    <row r="46" spans="1:18" s="31" customFormat="1" ht="147.75" customHeight="1" outlineLevel="3">
      <c r="A46" s="129"/>
      <c r="B46" s="130"/>
      <c r="C46" s="137"/>
      <c r="D46" s="137"/>
      <c r="E46" s="11" t="s">
        <v>227</v>
      </c>
      <c r="F46" s="56">
        <f t="shared" si="4"/>
        <v>438315.8</v>
      </c>
      <c r="G46" s="14">
        <v>38826</v>
      </c>
      <c r="H46" s="14">
        <f>39758.8-H49</f>
        <v>38104.100000000006</v>
      </c>
      <c r="I46" s="14">
        <v>42166.3</v>
      </c>
      <c r="J46" s="14">
        <v>45985</v>
      </c>
      <c r="K46" s="14">
        <f>46128.2+2749.7-38.3-841.2-332.3+2545.8-170</f>
        <v>50041.899999999994</v>
      </c>
      <c r="L46" s="14">
        <v>54574.1</v>
      </c>
      <c r="M46" s="14">
        <v>55280.8</v>
      </c>
      <c r="N46" s="14">
        <v>56668.8</v>
      </c>
      <c r="O46" s="14">
        <v>56668.8</v>
      </c>
      <c r="P46" s="57">
        <f t="shared" si="3"/>
        <v>-168618.39999999997</v>
      </c>
      <c r="Q46" s="18">
        <f t="shared" si="1"/>
        <v>0</v>
      </c>
      <c r="R46" s="16"/>
    </row>
    <row r="47" spans="1:18" s="31" customFormat="1" ht="171" outlineLevel="3">
      <c r="A47" s="124"/>
      <c r="B47" s="128"/>
      <c r="C47" s="140"/>
      <c r="D47" s="140"/>
      <c r="E47" s="121" t="s">
        <v>622</v>
      </c>
      <c r="F47" s="56">
        <f t="shared" si="4"/>
        <v>149923</v>
      </c>
      <c r="G47" s="14">
        <v>13278.3</v>
      </c>
      <c r="H47" s="14">
        <f>13299-H50</f>
        <v>12600.8</v>
      </c>
      <c r="I47" s="14">
        <v>13264.3</v>
      </c>
      <c r="J47" s="14">
        <f>15040.2+575.6</f>
        <v>15615.800000000001</v>
      </c>
      <c r="K47" s="14">
        <v>16019.5</v>
      </c>
      <c r="L47" s="14">
        <v>19091.4</v>
      </c>
      <c r="M47" s="14">
        <v>19092.3</v>
      </c>
      <c r="N47" s="14">
        <v>20480.3</v>
      </c>
      <c r="O47" s="14">
        <v>20480.3</v>
      </c>
      <c r="P47" s="57">
        <f t="shared" si="3"/>
        <v>-60052.899999999994</v>
      </c>
      <c r="Q47" s="18">
        <f t="shared" si="1"/>
        <v>0</v>
      </c>
      <c r="R47" s="16"/>
    </row>
    <row r="48" spans="1:18" s="23" customFormat="1" ht="12.75" outlineLevel="2">
      <c r="A48" s="67" t="s">
        <v>442</v>
      </c>
      <c r="B48" s="54" t="s">
        <v>31</v>
      </c>
      <c r="C48" s="53" t="s">
        <v>56</v>
      </c>
      <c r="D48" s="53" t="s">
        <v>57</v>
      </c>
      <c r="E48" s="11" t="s">
        <v>244</v>
      </c>
      <c r="F48" s="56">
        <f t="shared" si="4"/>
        <v>14187.499999999998</v>
      </c>
      <c r="G48" s="14">
        <f aca="true" t="shared" si="33" ref="G48:O48">G49+G50</f>
        <v>1214.3</v>
      </c>
      <c r="H48" s="14">
        <f t="shared" si="33"/>
        <v>2352.9</v>
      </c>
      <c r="I48" s="14">
        <f t="shared" si="33"/>
        <v>2352.9</v>
      </c>
      <c r="J48" s="14">
        <f t="shared" si="33"/>
        <v>1377.9</v>
      </c>
      <c r="K48" s="14">
        <f t="shared" si="33"/>
        <v>1377.9</v>
      </c>
      <c r="L48" s="14">
        <f t="shared" si="33"/>
        <v>1377.9</v>
      </c>
      <c r="M48" s="14">
        <f t="shared" si="33"/>
        <v>1377.9</v>
      </c>
      <c r="N48" s="14">
        <f t="shared" si="33"/>
        <v>1377.9</v>
      </c>
      <c r="O48" s="14">
        <f t="shared" si="33"/>
        <v>1377.9</v>
      </c>
      <c r="P48" s="57">
        <f t="shared" si="3"/>
        <v>-4133.699999999999</v>
      </c>
      <c r="Q48" s="18">
        <f t="shared" si="1"/>
        <v>0</v>
      </c>
      <c r="R48" s="26"/>
    </row>
    <row r="49" spans="1:18" s="31" customFormat="1" ht="21" customHeight="1" outlineLevel="3">
      <c r="A49" s="68"/>
      <c r="B49" s="61"/>
      <c r="C49" s="60"/>
      <c r="D49" s="60"/>
      <c r="E49" s="11" t="s">
        <v>192</v>
      </c>
      <c r="F49" s="56">
        <f t="shared" si="4"/>
        <v>10688.1</v>
      </c>
      <c r="G49" s="14">
        <f>1654.7-600</f>
        <v>1054.7</v>
      </c>
      <c r="H49" s="14">
        <f>1654.7</f>
        <v>1654.7</v>
      </c>
      <c r="I49" s="14">
        <f>1654.7</f>
        <v>1654.7</v>
      </c>
      <c r="J49" s="14">
        <v>1054</v>
      </c>
      <c r="K49" s="14">
        <v>1054</v>
      </c>
      <c r="L49" s="14">
        <v>1054</v>
      </c>
      <c r="M49" s="14">
        <v>1054</v>
      </c>
      <c r="N49" s="14">
        <v>1054</v>
      </c>
      <c r="O49" s="14">
        <v>1054</v>
      </c>
      <c r="P49" s="57">
        <f t="shared" si="3"/>
        <v>-3162.000000000001</v>
      </c>
      <c r="Q49" s="18">
        <f t="shared" si="1"/>
        <v>0</v>
      </c>
      <c r="R49" s="16"/>
    </row>
    <row r="50" spans="1:18" s="31" customFormat="1" ht="66" outlineLevel="3">
      <c r="A50" s="68"/>
      <c r="B50" s="61"/>
      <c r="C50" s="60"/>
      <c r="D50" s="60"/>
      <c r="E50" s="121" t="s">
        <v>621</v>
      </c>
      <c r="F50" s="56">
        <f aca="true" t="shared" si="34" ref="F50:F105">G50+H50+I50+J50+K50+L50+M50+N50+O50</f>
        <v>3499.4000000000005</v>
      </c>
      <c r="G50" s="14">
        <f>639.3-479.7</f>
        <v>159.59999999999997</v>
      </c>
      <c r="H50" s="14">
        <v>698.2</v>
      </c>
      <c r="I50" s="14">
        <v>698.2</v>
      </c>
      <c r="J50" s="14">
        <v>323.9</v>
      </c>
      <c r="K50" s="14">
        <v>323.9</v>
      </c>
      <c r="L50" s="14">
        <v>323.9</v>
      </c>
      <c r="M50" s="14">
        <v>323.9</v>
      </c>
      <c r="N50" s="14">
        <v>323.9</v>
      </c>
      <c r="O50" s="14">
        <v>323.9</v>
      </c>
      <c r="P50" s="57">
        <f aca="true" t="shared" si="35" ref="P50:P105">L50+K50+J50+I50+H50+G50-F50</f>
        <v>-971.7000000000003</v>
      </c>
      <c r="Q50" s="18">
        <f t="shared" si="1"/>
        <v>0</v>
      </c>
      <c r="R50" s="16"/>
    </row>
    <row r="51" spans="1:18" s="31" customFormat="1" ht="105" outlineLevel="3">
      <c r="A51" s="64" t="s">
        <v>443</v>
      </c>
      <c r="B51" s="112" t="s">
        <v>37</v>
      </c>
      <c r="C51" s="55" t="s">
        <v>56</v>
      </c>
      <c r="D51" s="55" t="s">
        <v>57</v>
      </c>
      <c r="E51" s="11" t="s">
        <v>232</v>
      </c>
      <c r="F51" s="56">
        <f t="shared" si="34"/>
        <v>700.5999999999999</v>
      </c>
      <c r="G51" s="14">
        <f>3417.4-2716.8</f>
        <v>700.5999999999999</v>
      </c>
      <c r="H51" s="14">
        <f aca="true" t="shared" si="36" ref="H51:O51">3417.4-3417.4</f>
        <v>0</v>
      </c>
      <c r="I51" s="14">
        <f t="shared" si="36"/>
        <v>0</v>
      </c>
      <c r="J51" s="14">
        <f t="shared" si="36"/>
        <v>0</v>
      </c>
      <c r="K51" s="14">
        <f t="shared" si="36"/>
        <v>0</v>
      </c>
      <c r="L51" s="14">
        <f t="shared" si="36"/>
        <v>0</v>
      </c>
      <c r="M51" s="14">
        <f t="shared" si="36"/>
        <v>0</v>
      </c>
      <c r="N51" s="14">
        <f t="shared" si="36"/>
        <v>0</v>
      </c>
      <c r="O51" s="14">
        <f t="shared" si="36"/>
        <v>0</v>
      </c>
      <c r="P51" s="57">
        <f t="shared" si="35"/>
        <v>0</v>
      </c>
      <c r="Q51" s="18">
        <f t="shared" si="1"/>
        <v>0</v>
      </c>
      <c r="R51" s="16"/>
    </row>
    <row r="52" spans="1:18" s="31" customFormat="1" ht="105" outlineLevel="3">
      <c r="A52" s="64" t="s">
        <v>444</v>
      </c>
      <c r="B52" s="112" t="s">
        <v>37</v>
      </c>
      <c r="C52" s="55" t="s">
        <v>56</v>
      </c>
      <c r="D52" s="55" t="s">
        <v>57</v>
      </c>
      <c r="E52" s="11" t="s">
        <v>563</v>
      </c>
      <c r="F52" s="56">
        <f t="shared" si="34"/>
        <v>2716.8</v>
      </c>
      <c r="G52" s="14">
        <v>2716.8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57">
        <f t="shared" si="35"/>
        <v>0</v>
      </c>
      <c r="Q52" s="18">
        <f t="shared" si="1"/>
        <v>0</v>
      </c>
      <c r="R52" s="16"/>
    </row>
    <row r="53" spans="1:18" s="31" customFormat="1" ht="32.25" customHeight="1" outlineLevel="3">
      <c r="A53" s="67" t="s">
        <v>445</v>
      </c>
      <c r="B53" s="54" t="s">
        <v>29</v>
      </c>
      <c r="C53" s="53" t="s">
        <v>56</v>
      </c>
      <c r="D53" s="53" t="s">
        <v>57</v>
      </c>
      <c r="E53" s="11" t="s">
        <v>244</v>
      </c>
      <c r="F53" s="56">
        <f t="shared" si="34"/>
        <v>369751.6</v>
      </c>
      <c r="G53" s="14">
        <f aca="true" t="shared" si="37" ref="G53:O53">G54+G55+G56+G57+G59+G60+G58</f>
        <v>32395.8</v>
      </c>
      <c r="H53" s="14">
        <f t="shared" si="37"/>
        <v>30727.4</v>
      </c>
      <c r="I53" s="14">
        <f t="shared" si="37"/>
        <v>37476.5</v>
      </c>
      <c r="J53" s="14">
        <f t="shared" si="37"/>
        <v>39290.2</v>
      </c>
      <c r="K53" s="14">
        <f t="shared" si="37"/>
        <v>42349.2</v>
      </c>
      <c r="L53" s="14">
        <f t="shared" si="37"/>
        <v>45374.1</v>
      </c>
      <c r="M53" s="14">
        <f t="shared" si="37"/>
        <v>45528.8</v>
      </c>
      <c r="N53" s="14">
        <f t="shared" si="37"/>
        <v>48304.8</v>
      </c>
      <c r="O53" s="14">
        <f t="shared" si="37"/>
        <v>48304.8</v>
      </c>
      <c r="P53" s="57">
        <f t="shared" si="35"/>
        <v>-142138.4</v>
      </c>
      <c r="Q53" s="18">
        <f t="shared" si="1"/>
        <v>0</v>
      </c>
      <c r="R53" s="16"/>
    </row>
    <row r="54" spans="1:18" s="31" customFormat="1" ht="39" outlineLevel="3">
      <c r="A54" s="69"/>
      <c r="B54" s="59"/>
      <c r="C54" s="58"/>
      <c r="D54" s="58"/>
      <c r="E54" s="11" t="s">
        <v>587</v>
      </c>
      <c r="F54" s="56">
        <f t="shared" si="34"/>
        <v>144806.4</v>
      </c>
      <c r="G54" s="14">
        <v>9441.5</v>
      </c>
      <c r="H54" s="14">
        <f>15758.9-H62</f>
        <v>11575.2</v>
      </c>
      <c r="I54" s="14">
        <v>13889.2</v>
      </c>
      <c r="J54" s="14">
        <f>14317.5+647.2</f>
        <v>14964.7</v>
      </c>
      <c r="K54" s="14">
        <v>16617.7</v>
      </c>
      <c r="L54" s="14">
        <v>18848.1</v>
      </c>
      <c r="M54" s="14">
        <v>18898</v>
      </c>
      <c r="N54" s="14">
        <v>20286</v>
      </c>
      <c r="O54" s="14">
        <v>20286</v>
      </c>
      <c r="P54" s="57">
        <f t="shared" si="35"/>
        <v>-59470</v>
      </c>
      <c r="Q54" s="18">
        <f t="shared" si="1"/>
        <v>0</v>
      </c>
      <c r="R54" s="16"/>
    </row>
    <row r="55" spans="1:18" s="31" customFormat="1" ht="60" customHeight="1" outlineLevel="3">
      <c r="A55" s="69"/>
      <c r="B55" s="59"/>
      <c r="C55" s="58"/>
      <c r="D55" s="58"/>
      <c r="E55" s="11" t="s">
        <v>233</v>
      </c>
      <c r="F55" s="56">
        <f t="shared" si="34"/>
        <v>3153.3</v>
      </c>
      <c r="G55" s="14">
        <f>4562-1408.7</f>
        <v>3153.3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57">
        <f t="shared" si="35"/>
        <v>0</v>
      </c>
      <c r="Q55" s="18">
        <f t="shared" si="1"/>
        <v>0</v>
      </c>
      <c r="R55" s="16"/>
    </row>
    <row r="56" spans="1:18" s="31" customFormat="1" ht="76.5" customHeight="1" outlineLevel="3">
      <c r="A56" s="69"/>
      <c r="B56" s="59"/>
      <c r="C56" s="58"/>
      <c r="D56" s="58"/>
      <c r="E56" s="11" t="s">
        <v>234</v>
      </c>
      <c r="F56" s="56">
        <f t="shared" si="34"/>
        <v>2864.4</v>
      </c>
      <c r="G56" s="14">
        <v>2864.4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57">
        <f t="shared" si="35"/>
        <v>0</v>
      </c>
      <c r="Q56" s="18">
        <f t="shared" si="1"/>
        <v>0</v>
      </c>
      <c r="R56" s="16"/>
    </row>
    <row r="57" spans="1:18" s="31" customFormat="1" ht="100.5" customHeight="1" outlineLevel="3">
      <c r="A57" s="68"/>
      <c r="B57" s="61"/>
      <c r="C57" s="60"/>
      <c r="D57" s="60"/>
      <c r="E57" s="11" t="s">
        <v>235</v>
      </c>
      <c r="F57" s="56">
        <f t="shared" si="34"/>
        <v>11468.8</v>
      </c>
      <c r="G57" s="70">
        <v>11468.8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57">
        <f t="shared" si="35"/>
        <v>0</v>
      </c>
      <c r="Q57" s="18">
        <f t="shared" si="1"/>
        <v>0</v>
      </c>
      <c r="R57" s="16"/>
    </row>
    <row r="58" spans="1:18" s="31" customFormat="1" ht="100.5" customHeight="1" outlineLevel="3">
      <c r="A58" s="69"/>
      <c r="B58" s="59"/>
      <c r="C58" s="58"/>
      <c r="D58" s="58"/>
      <c r="E58" s="11" t="s">
        <v>366</v>
      </c>
      <c r="F58" s="56">
        <f t="shared" si="34"/>
        <v>201990.89999999997</v>
      </c>
      <c r="G58" s="14">
        <v>0</v>
      </c>
      <c r="H58" s="14">
        <f>19152.2</f>
        <v>19152.2</v>
      </c>
      <c r="I58" s="14">
        <v>23587.3</v>
      </c>
      <c r="J58" s="14">
        <f>22772.4+1553.1</f>
        <v>24325.5</v>
      </c>
      <c r="K58" s="14">
        <v>25731.5</v>
      </c>
      <c r="L58" s="14">
        <v>26526</v>
      </c>
      <c r="M58" s="14">
        <v>26630.8</v>
      </c>
      <c r="N58" s="14">
        <v>28018.8</v>
      </c>
      <c r="O58" s="14">
        <v>28018.8</v>
      </c>
      <c r="P58" s="57">
        <f t="shared" si="35"/>
        <v>-82668.39999999997</v>
      </c>
      <c r="Q58" s="18">
        <f>O58+N58+M58+L58+K58+J58+I58+H58+G58-F58</f>
        <v>0</v>
      </c>
      <c r="R58" s="16"/>
    </row>
    <row r="59" spans="1:18" s="31" customFormat="1" ht="81" customHeight="1" outlineLevel="3">
      <c r="A59" s="69"/>
      <c r="B59" s="59"/>
      <c r="C59" s="58"/>
      <c r="D59" s="58"/>
      <c r="E59" s="11" t="s">
        <v>500</v>
      </c>
      <c r="F59" s="56">
        <f t="shared" si="34"/>
        <v>2156</v>
      </c>
      <c r="G59" s="71">
        <v>2156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57">
        <f t="shared" si="35"/>
        <v>0</v>
      </c>
      <c r="Q59" s="18">
        <f aca="true" t="shared" si="38" ref="Q59:Q124">O59+N59+M59+L59+K59+J59+I59+H59+G59-F59</f>
        <v>0</v>
      </c>
      <c r="R59" s="16"/>
    </row>
    <row r="60" spans="1:18" s="31" customFormat="1" ht="78.75" outlineLevel="3">
      <c r="A60" s="68"/>
      <c r="B60" s="61"/>
      <c r="C60" s="60"/>
      <c r="D60" s="60"/>
      <c r="E60" s="11" t="s">
        <v>236</v>
      </c>
      <c r="F60" s="56">
        <f t="shared" si="34"/>
        <v>3311.7999999999997</v>
      </c>
      <c r="G60" s="14">
        <f>4480.9-1169.1</f>
        <v>3311.7999999999997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57">
        <f t="shared" si="35"/>
        <v>0</v>
      </c>
      <c r="Q60" s="18">
        <f t="shared" si="38"/>
        <v>0</v>
      </c>
      <c r="R60" s="16"/>
    </row>
    <row r="61" spans="1:18" s="31" customFormat="1" ht="41.25" customHeight="1" outlineLevel="3">
      <c r="A61" s="123" t="s">
        <v>446</v>
      </c>
      <c r="B61" s="127" t="s">
        <v>184</v>
      </c>
      <c r="C61" s="136" t="s">
        <v>56</v>
      </c>
      <c r="D61" s="136" t="s">
        <v>57</v>
      </c>
      <c r="E61" s="11" t="s">
        <v>244</v>
      </c>
      <c r="F61" s="56">
        <f t="shared" si="34"/>
        <v>37021.2</v>
      </c>
      <c r="G61" s="14">
        <f>G62</f>
        <v>3551.6</v>
      </c>
      <c r="H61" s="14">
        <f aca="true" t="shared" si="39" ref="H61:O61">H62</f>
        <v>4183.7</v>
      </c>
      <c r="I61" s="14">
        <f t="shared" si="39"/>
        <v>4183.7</v>
      </c>
      <c r="J61" s="14">
        <f t="shared" si="39"/>
        <v>4183.7</v>
      </c>
      <c r="K61" s="14">
        <f t="shared" si="39"/>
        <v>4183.7</v>
      </c>
      <c r="L61" s="14">
        <f t="shared" si="39"/>
        <v>4183.7</v>
      </c>
      <c r="M61" s="14">
        <f t="shared" si="39"/>
        <v>4183.7</v>
      </c>
      <c r="N61" s="14">
        <f t="shared" si="39"/>
        <v>4183.7</v>
      </c>
      <c r="O61" s="14">
        <f t="shared" si="39"/>
        <v>4183.7</v>
      </c>
      <c r="P61" s="57">
        <f t="shared" si="35"/>
        <v>-12551.099999999999</v>
      </c>
      <c r="Q61" s="18">
        <f t="shared" si="38"/>
        <v>0</v>
      </c>
      <c r="R61" s="16"/>
    </row>
    <row r="62" spans="1:18" s="31" customFormat="1" ht="26.25" outlineLevel="3">
      <c r="A62" s="129"/>
      <c r="B62" s="130"/>
      <c r="C62" s="140"/>
      <c r="D62" s="140"/>
      <c r="E62" s="11" t="s">
        <v>237</v>
      </c>
      <c r="F62" s="56">
        <f t="shared" si="34"/>
        <v>37021.2</v>
      </c>
      <c r="G62" s="14">
        <v>3551.6</v>
      </c>
      <c r="H62" s="14">
        <v>4183.7</v>
      </c>
      <c r="I62" s="14">
        <v>4183.7</v>
      </c>
      <c r="J62" s="14">
        <v>4183.7</v>
      </c>
      <c r="K62" s="14">
        <v>4183.7</v>
      </c>
      <c r="L62" s="14">
        <v>4183.7</v>
      </c>
      <c r="M62" s="14">
        <v>4183.7</v>
      </c>
      <c r="N62" s="14">
        <v>4183.7</v>
      </c>
      <c r="O62" s="14">
        <v>4183.7</v>
      </c>
      <c r="P62" s="57">
        <f t="shared" si="35"/>
        <v>-12551.099999999999</v>
      </c>
      <c r="Q62" s="18">
        <f t="shared" si="38"/>
        <v>0</v>
      </c>
      <c r="R62" s="16"/>
    </row>
    <row r="63" spans="1:18" s="31" customFormat="1" ht="45.75" customHeight="1" outlineLevel="2">
      <c r="A63" s="123" t="s">
        <v>249</v>
      </c>
      <c r="B63" s="127" t="s">
        <v>186</v>
      </c>
      <c r="C63" s="63" t="s">
        <v>56</v>
      </c>
      <c r="D63" s="63" t="s">
        <v>289</v>
      </c>
      <c r="E63" s="11" t="s">
        <v>244</v>
      </c>
      <c r="F63" s="56">
        <f t="shared" si="34"/>
        <v>43502.200000000004</v>
      </c>
      <c r="G63" s="14">
        <f aca="true" t="shared" si="40" ref="G63:O63">G66+G64+G65</f>
        <v>10796.6</v>
      </c>
      <c r="H63" s="14">
        <f t="shared" si="40"/>
        <v>11110.8</v>
      </c>
      <c r="I63" s="14">
        <f t="shared" si="40"/>
        <v>7643.200000000001</v>
      </c>
      <c r="J63" s="14">
        <f t="shared" si="40"/>
        <v>6333.9</v>
      </c>
      <c r="K63" s="14">
        <f t="shared" si="40"/>
        <v>7165.8</v>
      </c>
      <c r="L63" s="14">
        <f t="shared" si="40"/>
        <v>451.9</v>
      </c>
      <c r="M63" s="14">
        <f t="shared" si="40"/>
        <v>0</v>
      </c>
      <c r="N63" s="14">
        <f t="shared" si="40"/>
        <v>0</v>
      </c>
      <c r="O63" s="14">
        <f t="shared" si="40"/>
        <v>0</v>
      </c>
      <c r="P63" s="57">
        <f t="shared" si="35"/>
        <v>0</v>
      </c>
      <c r="Q63" s="18">
        <f t="shared" si="38"/>
        <v>0</v>
      </c>
      <c r="R63" s="16"/>
    </row>
    <row r="64" spans="1:18" s="31" customFormat="1" ht="44.25" customHeight="1" outlineLevel="2">
      <c r="A64" s="129"/>
      <c r="B64" s="130"/>
      <c r="C64" s="63" t="s">
        <v>56</v>
      </c>
      <c r="D64" s="63" t="s">
        <v>289</v>
      </c>
      <c r="E64" s="11" t="s">
        <v>282</v>
      </c>
      <c r="F64" s="56">
        <f t="shared" si="34"/>
        <v>28498</v>
      </c>
      <c r="G64" s="14">
        <v>7093.3</v>
      </c>
      <c r="H64" s="14">
        <v>7270.8</v>
      </c>
      <c r="I64" s="14">
        <v>5021.6</v>
      </c>
      <c r="J64" s="14">
        <v>4275.4</v>
      </c>
      <c r="K64" s="14">
        <v>4836.9</v>
      </c>
      <c r="L64" s="14">
        <v>0</v>
      </c>
      <c r="M64" s="14">
        <v>0</v>
      </c>
      <c r="N64" s="14">
        <v>0</v>
      </c>
      <c r="O64" s="14">
        <v>0</v>
      </c>
      <c r="P64" s="57">
        <f t="shared" si="35"/>
        <v>0</v>
      </c>
      <c r="Q64" s="18">
        <f t="shared" si="38"/>
        <v>0</v>
      </c>
      <c r="R64" s="16"/>
    </row>
    <row r="65" spans="1:18" s="31" customFormat="1" ht="42" customHeight="1" outlineLevel="2">
      <c r="A65" s="129"/>
      <c r="B65" s="130"/>
      <c r="C65" s="63" t="s">
        <v>56</v>
      </c>
      <c r="D65" s="63" t="s">
        <v>289</v>
      </c>
      <c r="E65" s="11" t="s">
        <v>38</v>
      </c>
      <c r="F65" s="56">
        <f t="shared" si="34"/>
        <v>10207.499999999998</v>
      </c>
      <c r="G65" s="14">
        <v>2623.6</v>
      </c>
      <c r="H65" s="14">
        <v>2689.2</v>
      </c>
      <c r="I65" s="14">
        <v>1857.3</v>
      </c>
      <c r="J65" s="14">
        <v>1425.1</v>
      </c>
      <c r="K65" s="14">
        <v>1612.3</v>
      </c>
      <c r="L65" s="14">
        <v>0</v>
      </c>
      <c r="M65" s="14">
        <v>0</v>
      </c>
      <c r="N65" s="14">
        <v>0</v>
      </c>
      <c r="O65" s="14">
        <v>0</v>
      </c>
      <c r="P65" s="57">
        <f t="shared" si="35"/>
        <v>0</v>
      </c>
      <c r="Q65" s="18">
        <f t="shared" si="38"/>
        <v>0</v>
      </c>
      <c r="R65" s="16"/>
    </row>
    <row r="66" spans="1:18" s="31" customFormat="1" ht="43.5" customHeight="1" outlineLevel="2">
      <c r="A66" s="129"/>
      <c r="B66" s="130"/>
      <c r="C66" s="63" t="s">
        <v>56</v>
      </c>
      <c r="D66" s="63" t="s">
        <v>289</v>
      </c>
      <c r="E66" s="11" t="s">
        <v>18</v>
      </c>
      <c r="F66" s="56">
        <f t="shared" si="34"/>
        <v>4796.7</v>
      </c>
      <c r="G66" s="14">
        <v>1079.7</v>
      </c>
      <c r="H66" s="14">
        <v>1150.8</v>
      </c>
      <c r="I66" s="14">
        <v>764.3</v>
      </c>
      <c r="J66" s="14">
        <v>633.4</v>
      </c>
      <c r="K66" s="14">
        <f>640+76.6</f>
        <v>716.6</v>
      </c>
      <c r="L66" s="14">
        <v>451.9</v>
      </c>
      <c r="M66" s="14">
        <v>0</v>
      </c>
      <c r="N66" s="14">
        <v>0</v>
      </c>
      <c r="O66" s="14">
        <v>0</v>
      </c>
      <c r="P66" s="57">
        <f t="shared" si="35"/>
        <v>0</v>
      </c>
      <c r="Q66" s="18">
        <f t="shared" si="38"/>
        <v>0</v>
      </c>
      <c r="R66" s="16"/>
    </row>
    <row r="67" spans="1:18" s="31" customFormat="1" ht="43.5" customHeight="1" outlineLevel="2">
      <c r="A67" s="123" t="s">
        <v>616</v>
      </c>
      <c r="B67" s="127" t="s">
        <v>623</v>
      </c>
      <c r="C67" s="104"/>
      <c r="D67" s="104" t="s">
        <v>617</v>
      </c>
      <c r="E67" s="105" t="s">
        <v>244</v>
      </c>
      <c r="F67" s="56">
        <f t="shared" si="34"/>
        <v>51.3</v>
      </c>
      <c r="G67" s="14">
        <f>G68</f>
        <v>0</v>
      </c>
      <c r="H67" s="14">
        <f aca="true" t="shared" si="41" ref="H67:O67">H68</f>
        <v>0</v>
      </c>
      <c r="I67" s="14">
        <f t="shared" si="41"/>
        <v>0</v>
      </c>
      <c r="J67" s="14">
        <f t="shared" si="41"/>
        <v>0</v>
      </c>
      <c r="K67" s="14">
        <f t="shared" si="41"/>
        <v>0</v>
      </c>
      <c r="L67" s="14">
        <f t="shared" si="41"/>
        <v>51.3</v>
      </c>
      <c r="M67" s="14">
        <f t="shared" si="41"/>
        <v>0</v>
      </c>
      <c r="N67" s="14">
        <f t="shared" si="41"/>
        <v>0</v>
      </c>
      <c r="O67" s="14">
        <f t="shared" si="41"/>
        <v>0</v>
      </c>
      <c r="P67" s="57"/>
      <c r="Q67" s="18"/>
      <c r="R67" s="16"/>
    </row>
    <row r="68" spans="1:18" s="31" customFormat="1" ht="43.5" customHeight="1" outlineLevel="2">
      <c r="A68" s="124"/>
      <c r="B68" s="128"/>
      <c r="C68" s="104"/>
      <c r="D68" s="104" t="s">
        <v>617</v>
      </c>
      <c r="E68" s="105" t="s">
        <v>18</v>
      </c>
      <c r="F68" s="56">
        <f t="shared" si="34"/>
        <v>51.3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51.3</v>
      </c>
      <c r="M68" s="14">
        <v>0</v>
      </c>
      <c r="N68" s="14">
        <v>0</v>
      </c>
      <c r="O68" s="14">
        <v>0</v>
      </c>
      <c r="P68" s="57"/>
      <c r="Q68" s="18"/>
      <c r="R68" s="16"/>
    </row>
    <row r="69" spans="1:18" s="31" customFormat="1" ht="47.25" customHeight="1" outlineLevel="1">
      <c r="A69" s="67" t="s">
        <v>58</v>
      </c>
      <c r="B69" s="54" t="s">
        <v>476</v>
      </c>
      <c r="C69" s="55" t="s">
        <v>56</v>
      </c>
      <c r="D69" s="55" t="s">
        <v>60</v>
      </c>
      <c r="E69" s="11" t="s">
        <v>244</v>
      </c>
      <c r="F69" s="56">
        <f t="shared" si="34"/>
        <v>440350.19999999995</v>
      </c>
      <c r="G69" s="14">
        <f aca="true" t="shared" si="42" ref="G69:O69">G70+G74+G77</f>
        <v>26274.999999999996</v>
      </c>
      <c r="H69" s="14">
        <f t="shared" si="42"/>
        <v>61664.8</v>
      </c>
      <c r="I69" s="14">
        <f t="shared" si="42"/>
        <v>111360.7</v>
      </c>
      <c r="J69" s="14">
        <f t="shared" si="42"/>
        <v>48497.8</v>
      </c>
      <c r="K69" s="14">
        <f t="shared" si="42"/>
        <v>31704.6</v>
      </c>
      <c r="L69" s="14">
        <f t="shared" si="42"/>
        <v>39014.5</v>
      </c>
      <c r="M69" s="14">
        <f t="shared" si="42"/>
        <v>76277.6</v>
      </c>
      <c r="N69" s="14">
        <f t="shared" si="42"/>
        <v>22777.6</v>
      </c>
      <c r="O69" s="14">
        <f t="shared" si="42"/>
        <v>22777.6</v>
      </c>
      <c r="P69" s="57">
        <f t="shared" si="35"/>
        <v>-121832.79999999993</v>
      </c>
      <c r="Q69" s="18">
        <f t="shared" si="38"/>
        <v>0</v>
      </c>
      <c r="R69" s="16"/>
    </row>
    <row r="70" spans="1:18" s="31" customFormat="1" ht="47.25" customHeight="1" outlineLevel="1">
      <c r="A70" s="69"/>
      <c r="B70" s="59"/>
      <c r="C70" s="55" t="s">
        <v>56</v>
      </c>
      <c r="D70" s="55" t="s">
        <v>60</v>
      </c>
      <c r="E70" s="11" t="s">
        <v>552</v>
      </c>
      <c r="F70" s="56">
        <f t="shared" si="34"/>
        <v>186335.00000000003</v>
      </c>
      <c r="G70" s="14">
        <f aca="true" t="shared" si="43" ref="G70:O70">G71+G72+G73</f>
        <v>23137.199999999997</v>
      </c>
      <c r="H70" s="14">
        <f t="shared" si="43"/>
        <v>28360.2</v>
      </c>
      <c r="I70" s="14">
        <f t="shared" si="43"/>
        <v>13567.599999999999</v>
      </c>
      <c r="J70" s="14">
        <f>J71+J72+J73</f>
        <v>12762.200000000004</v>
      </c>
      <c r="K70" s="14">
        <f>K71+K72+K73</f>
        <v>21950.5</v>
      </c>
      <c r="L70" s="14">
        <f t="shared" si="43"/>
        <v>38224.5</v>
      </c>
      <c r="M70" s="14">
        <f t="shared" si="43"/>
        <v>2777.6</v>
      </c>
      <c r="N70" s="14">
        <f t="shared" si="43"/>
        <v>22777.6</v>
      </c>
      <c r="O70" s="14">
        <f t="shared" si="43"/>
        <v>22777.6</v>
      </c>
      <c r="P70" s="57">
        <f t="shared" si="35"/>
        <v>-48332.80000000002</v>
      </c>
      <c r="Q70" s="18">
        <f t="shared" si="38"/>
        <v>0</v>
      </c>
      <c r="R70" s="16"/>
    </row>
    <row r="71" spans="1:18" s="31" customFormat="1" ht="42.75" customHeight="1" outlineLevel="1">
      <c r="A71" s="68"/>
      <c r="B71" s="61"/>
      <c r="C71" s="55" t="s">
        <v>56</v>
      </c>
      <c r="D71" s="55" t="s">
        <v>60</v>
      </c>
      <c r="E71" s="11" t="s">
        <v>228</v>
      </c>
      <c r="F71" s="56">
        <f t="shared" si="34"/>
        <v>165710.4</v>
      </c>
      <c r="G71" s="14">
        <f>G79+G224+G239</f>
        <v>22839.899999999998</v>
      </c>
      <c r="H71" s="14">
        <f>H79+H224+H239</f>
        <v>22135</v>
      </c>
      <c r="I71" s="14">
        <f>I79+I224+I239</f>
        <v>12730.699999999999</v>
      </c>
      <c r="J71" s="14">
        <f>J79+J224+J239+J379+J274</f>
        <v>7736.400000000004</v>
      </c>
      <c r="K71" s="14">
        <f>K79+K224+K239+K279+K274</f>
        <v>13711.100000000002</v>
      </c>
      <c r="L71" s="14">
        <f>L79+L224+L239+L271</f>
        <v>38224.5</v>
      </c>
      <c r="M71" s="14">
        <f>M79+M224+M239</f>
        <v>2777.6</v>
      </c>
      <c r="N71" s="14">
        <f>N79+N224+N239</f>
        <v>22777.6</v>
      </c>
      <c r="O71" s="14">
        <f>O79+O224+O239</f>
        <v>22777.6</v>
      </c>
      <c r="P71" s="57">
        <f t="shared" si="35"/>
        <v>-48332.79999999999</v>
      </c>
      <c r="Q71" s="18">
        <f t="shared" si="38"/>
        <v>0</v>
      </c>
      <c r="R71" s="16"/>
    </row>
    <row r="72" spans="1:18" s="31" customFormat="1" ht="36.75" customHeight="1" outlineLevel="1">
      <c r="A72" s="69"/>
      <c r="B72" s="59"/>
      <c r="C72" s="136" t="s">
        <v>56</v>
      </c>
      <c r="D72" s="55" t="s">
        <v>469</v>
      </c>
      <c r="E72" s="11" t="s">
        <v>282</v>
      </c>
      <c r="F72" s="56">
        <f t="shared" si="34"/>
        <v>1668</v>
      </c>
      <c r="G72" s="14">
        <f>G225+G231+G276</f>
        <v>217</v>
      </c>
      <c r="H72" s="14">
        <f aca="true" t="shared" si="44" ref="H72:O72">H225+H231+H276</f>
        <v>419.7</v>
      </c>
      <c r="I72" s="14">
        <f t="shared" si="44"/>
        <v>0</v>
      </c>
      <c r="J72" s="14">
        <f t="shared" si="44"/>
        <v>0</v>
      </c>
      <c r="K72" s="14">
        <f t="shared" si="44"/>
        <v>1031.3</v>
      </c>
      <c r="L72" s="14">
        <f t="shared" si="44"/>
        <v>0</v>
      </c>
      <c r="M72" s="14">
        <f t="shared" si="44"/>
        <v>0</v>
      </c>
      <c r="N72" s="14">
        <f t="shared" si="44"/>
        <v>0</v>
      </c>
      <c r="O72" s="14">
        <f t="shared" si="44"/>
        <v>0</v>
      </c>
      <c r="P72" s="57">
        <f t="shared" si="35"/>
        <v>0</v>
      </c>
      <c r="Q72" s="18">
        <f t="shared" si="38"/>
        <v>0</v>
      </c>
      <c r="R72" s="16"/>
    </row>
    <row r="73" spans="1:18" s="31" customFormat="1" ht="36.75" customHeight="1" outlineLevel="1">
      <c r="A73" s="69"/>
      <c r="B73" s="59"/>
      <c r="C73" s="140"/>
      <c r="D73" s="55" t="s">
        <v>60</v>
      </c>
      <c r="E73" s="11" t="s">
        <v>38</v>
      </c>
      <c r="F73" s="56">
        <f t="shared" si="34"/>
        <v>18956.6</v>
      </c>
      <c r="G73" s="14">
        <f aca="true" t="shared" si="45" ref="G73:O73">G226+G228+G232+G240+G275+G280</f>
        <v>80.3</v>
      </c>
      <c r="H73" s="14">
        <f t="shared" si="45"/>
        <v>5805.5</v>
      </c>
      <c r="I73" s="14">
        <f t="shared" si="45"/>
        <v>836.9000000000001</v>
      </c>
      <c r="J73" s="14">
        <f t="shared" si="45"/>
        <v>5025.8</v>
      </c>
      <c r="K73" s="14">
        <f t="shared" si="45"/>
        <v>7208.099999999999</v>
      </c>
      <c r="L73" s="14">
        <f t="shared" si="45"/>
        <v>0</v>
      </c>
      <c r="M73" s="14">
        <f t="shared" si="45"/>
        <v>0</v>
      </c>
      <c r="N73" s="14">
        <f t="shared" si="45"/>
        <v>0</v>
      </c>
      <c r="O73" s="14">
        <f t="shared" si="45"/>
        <v>0</v>
      </c>
      <c r="P73" s="57">
        <f t="shared" si="35"/>
        <v>0</v>
      </c>
      <c r="Q73" s="18">
        <f t="shared" si="38"/>
        <v>0</v>
      </c>
      <c r="R73" s="16"/>
    </row>
    <row r="74" spans="1:18" s="31" customFormat="1" ht="46.5" customHeight="1" outlineLevel="1">
      <c r="A74" s="69"/>
      <c r="B74" s="59"/>
      <c r="C74" s="55" t="s">
        <v>56</v>
      </c>
      <c r="D74" s="55" t="s">
        <v>60</v>
      </c>
      <c r="E74" s="11" t="s">
        <v>553</v>
      </c>
      <c r="F74" s="56">
        <f t="shared" si="34"/>
        <v>252588.90000000002</v>
      </c>
      <c r="G74" s="14">
        <f aca="true" t="shared" si="46" ref="G74:O74">G75+G76</f>
        <v>3137.8</v>
      </c>
      <c r="H74" s="14">
        <v>33304.6</v>
      </c>
      <c r="I74" s="14">
        <f t="shared" si="46"/>
        <v>96366.8</v>
      </c>
      <c r="J74" s="14">
        <f t="shared" si="46"/>
        <v>35735.6</v>
      </c>
      <c r="K74" s="14">
        <f>K75+K76</f>
        <v>9754.1</v>
      </c>
      <c r="L74" s="14">
        <f t="shared" si="46"/>
        <v>790</v>
      </c>
      <c r="M74" s="14">
        <f t="shared" si="46"/>
        <v>73500</v>
      </c>
      <c r="N74" s="14">
        <f t="shared" si="46"/>
        <v>0</v>
      </c>
      <c r="O74" s="14">
        <f t="shared" si="46"/>
        <v>0</v>
      </c>
      <c r="P74" s="57">
        <f t="shared" si="35"/>
        <v>-73500.00000000003</v>
      </c>
      <c r="Q74" s="18">
        <f t="shared" si="38"/>
        <v>0</v>
      </c>
      <c r="R74" s="16"/>
    </row>
    <row r="75" spans="1:18" s="31" customFormat="1" ht="53.25" customHeight="1" outlineLevel="1">
      <c r="A75" s="69"/>
      <c r="B75" s="59"/>
      <c r="C75" s="55" t="s">
        <v>56</v>
      </c>
      <c r="D75" s="55" t="s">
        <v>60</v>
      </c>
      <c r="E75" s="11" t="s">
        <v>554</v>
      </c>
      <c r="F75" s="56">
        <f t="shared" si="34"/>
        <v>165041.4</v>
      </c>
      <c r="G75" s="14">
        <f>G80+G243</f>
        <v>3137.8</v>
      </c>
      <c r="H75" s="14">
        <v>17294.1</v>
      </c>
      <c r="I75" s="14">
        <f>I80+I243</f>
        <v>48120.5</v>
      </c>
      <c r="J75" s="14">
        <f>J80+J243</f>
        <v>17321.9</v>
      </c>
      <c r="K75" s="14">
        <f>K80+K243</f>
        <v>4877.1</v>
      </c>
      <c r="L75" s="14">
        <f>L80+L243+L272</f>
        <v>790</v>
      </c>
      <c r="M75" s="14">
        <f>M80+M243+M272</f>
        <v>73500</v>
      </c>
      <c r="N75" s="14">
        <f>N80+N243+N272</f>
        <v>0</v>
      </c>
      <c r="O75" s="14">
        <f>O80+O243+O272</f>
        <v>0</v>
      </c>
      <c r="P75" s="57">
        <f t="shared" si="35"/>
        <v>-73499.99999999999</v>
      </c>
      <c r="Q75" s="18">
        <f t="shared" si="38"/>
        <v>0</v>
      </c>
      <c r="R75" s="16"/>
    </row>
    <row r="76" spans="1:18" s="31" customFormat="1" ht="51" customHeight="1" outlineLevel="1">
      <c r="A76" s="69"/>
      <c r="B76" s="59"/>
      <c r="C76" s="55" t="s">
        <v>56</v>
      </c>
      <c r="D76" s="55" t="s">
        <v>60</v>
      </c>
      <c r="E76" s="11" t="s">
        <v>555</v>
      </c>
      <c r="F76" s="56">
        <f t="shared" si="34"/>
        <v>87547.5</v>
      </c>
      <c r="G76" s="14">
        <f aca="true" t="shared" si="47" ref="G76:O76">G242</f>
        <v>0</v>
      </c>
      <c r="H76" s="14">
        <v>16010.5</v>
      </c>
      <c r="I76" s="14">
        <f t="shared" si="47"/>
        <v>48246.3</v>
      </c>
      <c r="J76" s="14">
        <f>J242</f>
        <v>18413.699999999997</v>
      </c>
      <c r="K76" s="14">
        <f t="shared" si="47"/>
        <v>4877</v>
      </c>
      <c r="L76" s="14">
        <f t="shared" si="47"/>
        <v>0</v>
      </c>
      <c r="M76" s="14">
        <f t="shared" si="47"/>
        <v>0</v>
      </c>
      <c r="N76" s="14">
        <f t="shared" si="47"/>
        <v>0</v>
      </c>
      <c r="O76" s="14">
        <f t="shared" si="47"/>
        <v>0</v>
      </c>
      <c r="P76" s="57">
        <f t="shared" si="35"/>
        <v>0</v>
      </c>
      <c r="Q76" s="18">
        <f t="shared" si="38"/>
        <v>0</v>
      </c>
      <c r="R76" s="16"/>
    </row>
    <row r="77" spans="1:18" s="31" customFormat="1" ht="42" customHeight="1" outlineLevel="1">
      <c r="A77" s="68"/>
      <c r="B77" s="61"/>
      <c r="C77" s="55" t="s">
        <v>56</v>
      </c>
      <c r="D77" s="63" t="s">
        <v>60</v>
      </c>
      <c r="E77" s="11" t="s">
        <v>438</v>
      </c>
      <c r="F77" s="56">
        <f t="shared" si="34"/>
        <v>1426.3</v>
      </c>
      <c r="G77" s="14">
        <f aca="true" t="shared" si="48" ref="G77:O77">G81</f>
        <v>0</v>
      </c>
      <c r="H77" s="14">
        <f t="shared" si="48"/>
        <v>0</v>
      </c>
      <c r="I77" s="14">
        <f t="shared" si="48"/>
        <v>1426.3</v>
      </c>
      <c r="J77" s="14">
        <f t="shared" si="48"/>
        <v>0</v>
      </c>
      <c r="K77" s="14">
        <f t="shared" si="48"/>
        <v>0</v>
      </c>
      <c r="L77" s="14">
        <f t="shared" si="48"/>
        <v>0</v>
      </c>
      <c r="M77" s="14">
        <f t="shared" si="48"/>
        <v>0</v>
      </c>
      <c r="N77" s="14">
        <f t="shared" si="48"/>
        <v>0</v>
      </c>
      <c r="O77" s="14">
        <f t="shared" si="48"/>
        <v>0</v>
      </c>
      <c r="P77" s="57">
        <f t="shared" si="35"/>
        <v>0</v>
      </c>
      <c r="Q77" s="18">
        <f t="shared" si="38"/>
        <v>0</v>
      </c>
      <c r="R77" s="16"/>
    </row>
    <row r="78" spans="1:18" s="31" customFormat="1" ht="30" customHeight="1" outlineLevel="1">
      <c r="A78" s="123" t="s">
        <v>250</v>
      </c>
      <c r="B78" s="127" t="s">
        <v>59</v>
      </c>
      <c r="C78" s="55" t="s">
        <v>56</v>
      </c>
      <c r="D78" s="63" t="s">
        <v>61</v>
      </c>
      <c r="E78" s="11" t="s">
        <v>244</v>
      </c>
      <c r="F78" s="56">
        <f t="shared" si="34"/>
        <v>139404.2</v>
      </c>
      <c r="G78" s="14">
        <f aca="true" t="shared" si="49" ref="G78:O78">G79+G80+G81</f>
        <v>25937.699999999997</v>
      </c>
      <c r="H78" s="14">
        <f t="shared" si="49"/>
        <v>22630.1</v>
      </c>
      <c r="I78" s="14">
        <f t="shared" si="49"/>
        <v>14979.9</v>
      </c>
      <c r="J78" s="14">
        <f t="shared" si="49"/>
        <v>7973.200000000004</v>
      </c>
      <c r="K78" s="14">
        <f t="shared" si="49"/>
        <v>13406.000000000002</v>
      </c>
      <c r="L78" s="14">
        <f t="shared" si="49"/>
        <v>6144.5</v>
      </c>
      <c r="M78" s="14">
        <f t="shared" si="49"/>
        <v>2777.6</v>
      </c>
      <c r="N78" s="14">
        <f t="shared" si="49"/>
        <v>22777.6</v>
      </c>
      <c r="O78" s="14">
        <f t="shared" si="49"/>
        <v>22777.6</v>
      </c>
      <c r="P78" s="57">
        <f t="shared" si="35"/>
        <v>-48332.80000000002</v>
      </c>
      <c r="Q78" s="18">
        <f t="shared" si="38"/>
        <v>0</v>
      </c>
      <c r="R78" s="16"/>
    </row>
    <row r="79" spans="1:18" s="31" customFormat="1" ht="63" customHeight="1" outlineLevel="1">
      <c r="A79" s="129"/>
      <c r="B79" s="130"/>
      <c r="C79" s="55" t="s">
        <v>56</v>
      </c>
      <c r="D79" s="63" t="s">
        <v>61</v>
      </c>
      <c r="E79" s="11" t="s">
        <v>228</v>
      </c>
      <c r="F79" s="56">
        <f>G79+H79+I79+J79+K79+L79+M79+N79+O79</f>
        <v>131268.7</v>
      </c>
      <c r="G79" s="14">
        <f>G83+G160+G169+G200+G234</f>
        <v>22799.899999999998</v>
      </c>
      <c r="H79" s="14">
        <f>H83+H160+H169+H200+H234</f>
        <v>21346.5</v>
      </c>
      <c r="I79" s="14">
        <f>I83+I160+I169+I200+I234-533.8+4</f>
        <v>12293.9</v>
      </c>
      <c r="J79" s="14">
        <f>J83+J160+J169+J200+J234-0.1+995.4-11655.1</f>
        <v>7735.100000000004</v>
      </c>
      <c r="K79" s="14">
        <f>K83+K160+K169+K200+K234+10243.1+845.2-52-457.9</f>
        <v>13406.000000000002</v>
      </c>
      <c r="L79" s="14">
        <f>5354.5-L200+L200</f>
        <v>5354.5</v>
      </c>
      <c r="M79" s="14">
        <f>2777.6-M200+M200</f>
        <v>2777.6</v>
      </c>
      <c r="N79" s="14">
        <f>22777.6-N200+N200</f>
        <v>22777.6</v>
      </c>
      <c r="O79" s="14">
        <f>N79</f>
        <v>22777.6</v>
      </c>
      <c r="P79" s="57">
        <f t="shared" si="35"/>
        <v>-48332.8</v>
      </c>
      <c r="Q79" s="18">
        <f t="shared" si="38"/>
        <v>0</v>
      </c>
      <c r="R79" s="32">
        <f>L79-Q79</f>
        <v>5354.5</v>
      </c>
    </row>
    <row r="80" spans="1:18" s="31" customFormat="1" ht="51.75" customHeight="1" outlineLevel="1">
      <c r="A80" s="66"/>
      <c r="B80" s="110"/>
      <c r="C80" s="62" t="s">
        <v>56</v>
      </c>
      <c r="D80" s="63" t="s">
        <v>61</v>
      </c>
      <c r="E80" s="11" t="s">
        <v>229</v>
      </c>
      <c r="F80" s="56">
        <f t="shared" si="34"/>
        <v>6709.2</v>
      </c>
      <c r="G80" s="14">
        <f>G203+G205+G219</f>
        <v>3137.8</v>
      </c>
      <c r="H80" s="14">
        <f>H203+H205+H219</f>
        <v>1283.6</v>
      </c>
      <c r="I80" s="14">
        <f>I203+I205+I219+I207+I210</f>
        <v>1259.7</v>
      </c>
      <c r="J80" s="14">
        <f aca="true" t="shared" si="50" ref="J80:O80">J203+J205+J219+J207+J210+J212+J214+J216</f>
        <v>238.1</v>
      </c>
      <c r="K80" s="14">
        <f t="shared" si="50"/>
        <v>0</v>
      </c>
      <c r="L80" s="14">
        <f t="shared" si="50"/>
        <v>790</v>
      </c>
      <c r="M80" s="14">
        <f t="shared" si="50"/>
        <v>0</v>
      </c>
      <c r="N80" s="14">
        <f t="shared" si="50"/>
        <v>0</v>
      </c>
      <c r="O80" s="14">
        <f t="shared" si="50"/>
        <v>0</v>
      </c>
      <c r="P80" s="57">
        <f t="shared" si="35"/>
        <v>0</v>
      </c>
      <c r="Q80" s="18">
        <f t="shared" si="38"/>
        <v>0</v>
      </c>
      <c r="R80" s="16"/>
    </row>
    <row r="81" spans="1:18" s="31" customFormat="1" ht="51.75" customHeight="1" outlineLevel="1" collapsed="1">
      <c r="A81" s="66"/>
      <c r="B81" s="110"/>
      <c r="C81" s="62" t="s">
        <v>56</v>
      </c>
      <c r="D81" s="63" t="s">
        <v>61</v>
      </c>
      <c r="E81" s="11" t="s">
        <v>438</v>
      </c>
      <c r="F81" s="56">
        <f t="shared" si="34"/>
        <v>1426.3</v>
      </c>
      <c r="G81" s="14">
        <v>0</v>
      </c>
      <c r="H81" s="14">
        <v>0</v>
      </c>
      <c r="I81" s="14">
        <f>I218</f>
        <v>1426.3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57">
        <f t="shared" si="35"/>
        <v>0</v>
      </c>
      <c r="Q81" s="18">
        <f t="shared" si="38"/>
        <v>0</v>
      </c>
      <c r="R81" s="16"/>
    </row>
    <row r="82" spans="1:18" s="34" customFormat="1" ht="30.75" customHeight="1" hidden="1" outlineLevel="2">
      <c r="A82" s="123" t="s">
        <v>62</v>
      </c>
      <c r="B82" s="127" t="s">
        <v>64</v>
      </c>
      <c r="C82" s="55" t="s">
        <v>56</v>
      </c>
      <c r="D82" s="63" t="s">
        <v>61</v>
      </c>
      <c r="E82" s="11" t="s">
        <v>244</v>
      </c>
      <c r="F82" s="56">
        <f t="shared" si="34"/>
        <v>63920.5</v>
      </c>
      <c r="G82" s="14">
        <f aca="true" t="shared" si="51" ref="G82:L82">G83</f>
        <v>19307</v>
      </c>
      <c r="H82" s="14">
        <f t="shared" si="51"/>
        <v>15517.3</v>
      </c>
      <c r="I82" s="14">
        <f t="shared" si="51"/>
        <v>10796.8</v>
      </c>
      <c r="J82" s="14">
        <f t="shared" si="51"/>
        <v>16368</v>
      </c>
      <c r="K82" s="14">
        <f t="shared" si="51"/>
        <v>965.7</v>
      </c>
      <c r="L82" s="14">
        <f t="shared" si="51"/>
        <v>965.7</v>
      </c>
      <c r="M82" s="14"/>
      <c r="N82" s="14"/>
      <c r="O82" s="14"/>
      <c r="P82" s="57">
        <f t="shared" si="35"/>
        <v>0</v>
      </c>
      <c r="Q82" s="18">
        <f t="shared" si="38"/>
        <v>0</v>
      </c>
      <c r="R82" s="33"/>
    </row>
    <row r="83" spans="1:18" s="36" customFormat="1" ht="31.5" customHeight="1" hidden="1" outlineLevel="2">
      <c r="A83" s="124"/>
      <c r="B83" s="128"/>
      <c r="C83" s="55" t="s">
        <v>56</v>
      </c>
      <c r="D83" s="63" t="s">
        <v>61</v>
      </c>
      <c r="E83" s="11" t="s">
        <v>225</v>
      </c>
      <c r="F83" s="56">
        <f t="shared" si="34"/>
        <v>63920.5</v>
      </c>
      <c r="G83" s="14">
        <f aca="true" t="shared" si="52" ref="G83:L83">SUM(G84:G158)</f>
        <v>19307</v>
      </c>
      <c r="H83" s="14">
        <f t="shared" si="52"/>
        <v>15517.3</v>
      </c>
      <c r="I83" s="14">
        <f t="shared" si="52"/>
        <v>10796.8</v>
      </c>
      <c r="J83" s="14">
        <f t="shared" si="52"/>
        <v>16368</v>
      </c>
      <c r="K83" s="14">
        <f t="shared" si="52"/>
        <v>965.7</v>
      </c>
      <c r="L83" s="14">
        <f t="shared" si="52"/>
        <v>965.7</v>
      </c>
      <c r="M83" s="14"/>
      <c r="N83" s="14"/>
      <c r="O83" s="14"/>
      <c r="P83" s="57">
        <f t="shared" si="35"/>
        <v>0</v>
      </c>
      <c r="Q83" s="18">
        <f t="shared" si="38"/>
        <v>0</v>
      </c>
      <c r="R83" s="35"/>
    </row>
    <row r="84" spans="1:17" ht="49.5" customHeight="1" hidden="1" outlineLevel="3">
      <c r="A84" s="64" t="s">
        <v>73</v>
      </c>
      <c r="B84" s="112" t="s">
        <v>65</v>
      </c>
      <c r="C84" s="55" t="s">
        <v>56</v>
      </c>
      <c r="D84" s="63" t="s">
        <v>61</v>
      </c>
      <c r="E84" s="11" t="s">
        <v>4</v>
      </c>
      <c r="F84" s="56">
        <f t="shared" si="34"/>
        <v>168.3</v>
      </c>
      <c r="G84" s="14">
        <f>133.5+34.8</f>
        <v>168.3</v>
      </c>
      <c r="H84" s="14"/>
      <c r="I84" s="14"/>
      <c r="J84" s="14"/>
      <c r="K84" s="14"/>
      <c r="L84" s="14"/>
      <c r="M84" s="14"/>
      <c r="N84" s="14"/>
      <c r="O84" s="14"/>
      <c r="P84" s="57">
        <f t="shared" si="35"/>
        <v>0</v>
      </c>
      <c r="Q84" s="18">
        <f t="shared" si="38"/>
        <v>0</v>
      </c>
    </row>
    <row r="85" spans="1:17" ht="20.25" customHeight="1" hidden="1" outlineLevel="3">
      <c r="A85" s="64" t="s">
        <v>74</v>
      </c>
      <c r="B85" s="112" t="s">
        <v>153</v>
      </c>
      <c r="C85" s="55" t="s">
        <v>56</v>
      </c>
      <c r="D85" s="63" t="s">
        <v>61</v>
      </c>
      <c r="E85" s="11" t="s">
        <v>4</v>
      </c>
      <c r="F85" s="56">
        <f t="shared" si="34"/>
        <v>559.4</v>
      </c>
      <c r="G85" s="14">
        <f>396.2+163.2</f>
        <v>559.4</v>
      </c>
      <c r="H85" s="14"/>
      <c r="I85" s="14"/>
      <c r="J85" s="14"/>
      <c r="K85" s="14"/>
      <c r="L85" s="14"/>
      <c r="M85" s="14"/>
      <c r="N85" s="14"/>
      <c r="O85" s="14"/>
      <c r="P85" s="57">
        <f t="shared" si="35"/>
        <v>0</v>
      </c>
      <c r="Q85" s="18">
        <f t="shared" si="38"/>
        <v>0</v>
      </c>
    </row>
    <row r="86" spans="1:17" ht="33.75" customHeight="1" hidden="1" outlineLevel="3">
      <c r="A86" s="64" t="s">
        <v>75</v>
      </c>
      <c r="B86" s="112" t="s">
        <v>66</v>
      </c>
      <c r="C86" s="55" t="s">
        <v>56</v>
      </c>
      <c r="D86" s="63" t="s">
        <v>61</v>
      </c>
      <c r="E86" s="11" t="s">
        <v>4</v>
      </c>
      <c r="F86" s="56">
        <f t="shared" si="34"/>
        <v>255.8</v>
      </c>
      <c r="G86" s="14">
        <f>197.6+58.2</f>
        <v>255.8</v>
      </c>
      <c r="H86" s="14"/>
      <c r="I86" s="14"/>
      <c r="J86" s="14"/>
      <c r="K86" s="14"/>
      <c r="L86" s="14"/>
      <c r="M86" s="14"/>
      <c r="N86" s="14"/>
      <c r="O86" s="14"/>
      <c r="P86" s="57">
        <f t="shared" si="35"/>
        <v>0</v>
      </c>
      <c r="Q86" s="18">
        <f t="shared" si="38"/>
        <v>0</v>
      </c>
    </row>
    <row r="87" spans="1:17" ht="33.75" customHeight="1" hidden="1" outlineLevel="3">
      <c r="A87" s="64" t="s">
        <v>76</v>
      </c>
      <c r="B87" s="112" t="s">
        <v>103</v>
      </c>
      <c r="C87" s="55" t="s">
        <v>56</v>
      </c>
      <c r="D87" s="63" t="s">
        <v>61</v>
      </c>
      <c r="E87" s="11" t="s">
        <v>4</v>
      </c>
      <c r="F87" s="56">
        <f t="shared" si="34"/>
        <v>1800</v>
      </c>
      <c r="G87" s="14">
        <v>1800</v>
      </c>
      <c r="H87" s="14"/>
      <c r="I87" s="14"/>
      <c r="J87" s="14"/>
      <c r="K87" s="14"/>
      <c r="L87" s="14"/>
      <c r="M87" s="14"/>
      <c r="N87" s="14"/>
      <c r="O87" s="14"/>
      <c r="P87" s="57">
        <f t="shared" si="35"/>
        <v>0</v>
      </c>
      <c r="Q87" s="18">
        <f t="shared" si="38"/>
        <v>0</v>
      </c>
    </row>
    <row r="88" spans="1:17" ht="52.5" customHeight="1" hidden="1" outlineLevel="3">
      <c r="A88" s="64"/>
      <c r="B88" s="112" t="s">
        <v>313</v>
      </c>
      <c r="C88" s="55" t="s">
        <v>56</v>
      </c>
      <c r="D88" s="63" t="s">
        <v>61</v>
      </c>
      <c r="E88" s="11" t="s">
        <v>4</v>
      </c>
      <c r="F88" s="56">
        <f t="shared" si="34"/>
        <v>60</v>
      </c>
      <c r="G88" s="14">
        <v>60</v>
      </c>
      <c r="H88" s="14"/>
      <c r="I88" s="14"/>
      <c r="J88" s="14"/>
      <c r="K88" s="14"/>
      <c r="L88" s="14"/>
      <c r="M88" s="14"/>
      <c r="N88" s="14"/>
      <c r="O88" s="14"/>
      <c r="P88" s="57">
        <f t="shared" si="35"/>
        <v>0</v>
      </c>
      <c r="Q88" s="18">
        <f t="shared" si="38"/>
        <v>0</v>
      </c>
    </row>
    <row r="89" spans="1:17" ht="28.5" customHeight="1" hidden="1" outlineLevel="3">
      <c r="A89" s="64"/>
      <c r="B89" s="112" t="s">
        <v>319</v>
      </c>
      <c r="C89" s="55" t="s">
        <v>56</v>
      </c>
      <c r="D89" s="63" t="s">
        <v>61</v>
      </c>
      <c r="E89" s="11" t="s">
        <v>4</v>
      </c>
      <c r="F89" s="56">
        <f t="shared" si="34"/>
        <v>199.4</v>
      </c>
      <c r="G89" s="14"/>
      <c r="H89" s="14">
        <v>199.4</v>
      </c>
      <c r="I89" s="14"/>
      <c r="J89" s="14"/>
      <c r="K89" s="14"/>
      <c r="L89" s="14"/>
      <c r="M89" s="14"/>
      <c r="N89" s="14"/>
      <c r="O89" s="14"/>
      <c r="P89" s="57">
        <f t="shared" si="35"/>
        <v>0</v>
      </c>
      <c r="Q89" s="18">
        <f t="shared" si="38"/>
        <v>0</v>
      </c>
    </row>
    <row r="90" spans="1:17" ht="25.5" customHeight="1" hidden="1" outlineLevel="3">
      <c r="A90" s="64"/>
      <c r="B90" s="112" t="s">
        <v>320</v>
      </c>
      <c r="C90" s="55" t="s">
        <v>56</v>
      </c>
      <c r="D90" s="63" t="s">
        <v>61</v>
      </c>
      <c r="E90" s="11" t="s">
        <v>4</v>
      </c>
      <c r="F90" s="56">
        <f t="shared" si="34"/>
        <v>74.2</v>
      </c>
      <c r="G90" s="14"/>
      <c r="H90" s="14">
        <v>74.2</v>
      </c>
      <c r="I90" s="14"/>
      <c r="J90" s="14"/>
      <c r="K90" s="14"/>
      <c r="L90" s="14"/>
      <c r="M90" s="14"/>
      <c r="N90" s="14"/>
      <c r="O90" s="14"/>
      <c r="P90" s="57">
        <f t="shared" si="35"/>
        <v>0</v>
      </c>
      <c r="Q90" s="18">
        <f t="shared" si="38"/>
        <v>0</v>
      </c>
    </row>
    <row r="91" spans="1:17" ht="33.75" customHeight="1" hidden="1" outlineLevel="3">
      <c r="A91" s="64"/>
      <c r="B91" s="112" t="s">
        <v>321</v>
      </c>
      <c r="C91" s="55" t="s">
        <v>56</v>
      </c>
      <c r="D91" s="63" t="s">
        <v>61</v>
      </c>
      <c r="E91" s="11" t="s">
        <v>4</v>
      </c>
      <c r="F91" s="56">
        <f t="shared" si="34"/>
        <v>204.8</v>
      </c>
      <c r="G91" s="14"/>
      <c r="H91" s="14">
        <v>204.8</v>
      </c>
      <c r="I91" s="14"/>
      <c r="J91" s="14"/>
      <c r="K91" s="14"/>
      <c r="L91" s="14"/>
      <c r="M91" s="14"/>
      <c r="N91" s="14"/>
      <c r="O91" s="14"/>
      <c r="P91" s="57">
        <f t="shared" si="35"/>
        <v>0</v>
      </c>
      <c r="Q91" s="18">
        <f t="shared" si="38"/>
        <v>0</v>
      </c>
    </row>
    <row r="92" spans="1:17" ht="34.5" customHeight="1" hidden="1" outlineLevel="3">
      <c r="A92" s="64"/>
      <c r="B92" s="112" t="s">
        <v>322</v>
      </c>
      <c r="C92" s="55" t="s">
        <v>56</v>
      </c>
      <c r="D92" s="63" t="s">
        <v>61</v>
      </c>
      <c r="E92" s="11" t="s">
        <v>4</v>
      </c>
      <c r="F92" s="56">
        <f t="shared" si="34"/>
        <v>323.5</v>
      </c>
      <c r="G92" s="14"/>
      <c r="H92" s="14">
        <v>323.5</v>
      </c>
      <c r="I92" s="14"/>
      <c r="J92" s="14"/>
      <c r="K92" s="14"/>
      <c r="L92" s="14"/>
      <c r="M92" s="14"/>
      <c r="N92" s="14"/>
      <c r="O92" s="14"/>
      <c r="P92" s="57">
        <f t="shared" si="35"/>
        <v>0</v>
      </c>
      <c r="Q92" s="18">
        <f t="shared" si="38"/>
        <v>0</v>
      </c>
    </row>
    <row r="93" spans="1:17" ht="49.5" customHeight="1" hidden="1" outlineLevel="3">
      <c r="A93" s="64"/>
      <c r="B93" s="112" t="s">
        <v>323</v>
      </c>
      <c r="C93" s="55" t="s">
        <v>56</v>
      </c>
      <c r="D93" s="63" t="s">
        <v>61</v>
      </c>
      <c r="E93" s="11" t="s">
        <v>4</v>
      </c>
      <c r="F93" s="56">
        <f t="shared" si="34"/>
        <v>1100</v>
      </c>
      <c r="G93" s="14"/>
      <c r="H93" s="14">
        <v>1100</v>
      </c>
      <c r="I93" s="14"/>
      <c r="J93" s="14"/>
      <c r="K93" s="14"/>
      <c r="L93" s="14"/>
      <c r="M93" s="14"/>
      <c r="N93" s="14"/>
      <c r="O93" s="14"/>
      <c r="P93" s="57">
        <f t="shared" si="35"/>
        <v>0</v>
      </c>
      <c r="Q93" s="18">
        <f t="shared" si="38"/>
        <v>0</v>
      </c>
    </row>
    <row r="94" spans="1:17" ht="49.5" customHeight="1" hidden="1" outlineLevel="3">
      <c r="A94" s="64"/>
      <c r="B94" s="112" t="s">
        <v>379</v>
      </c>
      <c r="C94" s="55" t="s">
        <v>56</v>
      </c>
      <c r="D94" s="63" t="s">
        <v>61</v>
      </c>
      <c r="E94" s="11" t="s">
        <v>4</v>
      </c>
      <c r="F94" s="56">
        <f t="shared" si="34"/>
        <v>1782</v>
      </c>
      <c r="G94" s="14"/>
      <c r="H94" s="14">
        <v>1782</v>
      </c>
      <c r="I94" s="14"/>
      <c r="J94" s="14"/>
      <c r="K94" s="14"/>
      <c r="L94" s="14"/>
      <c r="M94" s="14"/>
      <c r="N94" s="14"/>
      <c r="O94" s="14"/>
      <c r="P94" s="57">
        <f t="shared" si="35"/>
        <v>0</v>
      </c>
      <c r="Q94" s="18">
        <f t="shared" si="38"/>
        <v>0</v>
      </c>
    </row>
    <row r="95" spans="1:17" ht="60.75" customHeight="1" hidden="1" outlineLevel="3">
      <c r="A95" s="64"/>
      <c r="B95" s="112" t="s">
        <v>425</v>
      </c>
      <c r="C95" s="55" t="s">
        <v>56</v>
      </c>
      <c r="D95" s="63" t="s">
        <v>61</v>
      </c>
      <c r="E95" s="11" t="s">
        <v>4</v>
      </c>
      <c r="F95" s="56">
        <f t="shared" si="34"/>
        <v>164.7</v>
      </c>
      <c r="G95" s="14"/>
      <c r="H95" s="14"/>
      <c r="I95" s="14">
        <v>164.7</v>
      </c>
      <c r="J95" s="14"/>
      <c r="K95" s="14"/>
      <c r="L95" s="14"/>
      <c r="M95" s="14"/>
      <c r="N95" s="14"/>
      <c r="O95" s="14"/>
      <c r="P95" s="57">
        <f t="shared" si="35"/>
        <v>0</v>
      </c>
      <c r="Q95" s="18">
        <f t="shared" si="38"/>
        <v>0</v>
      </c>
    </row>
    <row r="96" spans="1:17" ht="54.75" customHeight="1" hidden="1" outlineLevel="3">
      <c r="A96" s="64"/>
      <c r="B96" s="112" t="s">
        <v>426</v>
      </c>
      <c r="C96" s="55" t="s">
        <v>56</v>
      </c>
      <c r="D96" s="63" t="s">
        <v>61</v>
      </c>
      <c r="E96" s="11" t="s">
        <v>4</v>
      </c>
      <c r="F96" s="56">
        <f t="shared" si="34"/>
        <v>460</v>
      </c>
      <c r="G96" s="14"/>
      <c r="H96" s="14"/>
      <c r="I96" s="14">
        <v>460</v>
      </c>
      <c r="J96" s="14"/>
      <c r="K96" s="14"/>
      <c r="L96" s="14"/>
      <c r="M96" s="14"/>
      <c r="N96" s="14"/>
      <c r="O96" s="14"/>
      <c r="P96" s="57">
        <f t="shared" si="35"/>
        <v>0</v>
      </c>
      <c r="Q96" s="18">
        <f t="shared" si="38"/>
        <v>0</v>
      </c>
    </row>
    <row r="97" spans="1:17" ht="37.5" customHeight="1" hidden="1" outlineLevel="3">
      <c r="A97" s="64"/>
      <c r="B97" s="112" t="s">
        <v>427</v>
      </c>
      <c r="C97" s="55" t="s">
        <v>56</v>
      </c>
      <c r="D97" s="63" t="s">
        <v>61</v>
      </c>
      <c r="E97" s="11" t="s">
        <v>4</v>
      </c>
      <c r="F97" s="56">
        <f t="shared" si="34"/>
        <v>83.7</v>
      </c>
      <c r="G97" s="14"/>
      <c r="H97" s="14"/>
      <c r="I97" s="14">
        <v>83.7</v>
      </c>
      <c r="J97" s="14"/>
      <c r="K97" s="14"/>
      <c r="L97" s="14"/>
      <c r="M97" s="14"/>
      <c r="N97" s="14"/>
      <c r="O97" s="14"/>
      <c r="P97" s="57">
        <f t="shared" si="35"/>
        <v>0</v>
      </c>
      <c r="Q97" s="18">
        <f t="shared" si="38"/>
        <v>0</v>
      </c>
    </row>
    <row r="98" spans="1:17" ht="26.25" customHeight="1" hidden="1" outlineLevel="3">
      <c r="A98" s="64" t="s">
        <v>77</v>
      </c>
      <c r="B98" s="112" t="s">
        <v>67</v>
      </c>
      <c r="C98" s="55" t="s">
        <v>56</v>
      </c>
      <c r="D98" s="63" t="s">
        <v>61</v>
      </c>
      <c r="E98" s="11" t="s">
        <v>3</v>
      </c>
      <c r="F98" s="56">
        <f t="shared" si="34"/>
        <v>1327.5</v>
      </c>
      <c r="G98" s="14">
        <f>1101.7+225.8</f>
        <v>1327.5</v>
      </c>
      <c r="H98" s="14"/>
      <c r="I98" s="14"/>
      <c r="J98" s="14"/>
      <c r="K98" s="14"/>
      <c r="L98" s="14"/>
      <c r="M98" s="14"/>
      <c r="N98" s="14"/>
      <c r="O98" s="14"/>
      <c r="P98" s="57">
        <f t="shared" si="35"/>
        <v>0</v>
      </c>
      <c r="Q98" s="18">
        <f t="shared" si="38"/>
        <v>0</v>
      </c>
    </row>
    <row r="99" spans="1:17" ht="33.75" customHeight="1" hidden="1" outlineLevel="3">
      <c r="A99" s="64" t="s">
        <v>78</v>
      </c>
      <c r="B99" s="112" t="s">
        <v>312</v>
      </c>
      <c r="C99" s="55" t="s">
        <v>56</v>
      </c>
      <c r="D99" s="63" t="s">
        <v>61</v>
      </c>
      <c r="E99" s="11" t="s">
        <v>3</v>
      </c>
      <c r="F99" s="56">
        <f t="shared" si="34"/>
        <v>665.6</v>
      </c>
      <c r="G99" s="14">
        <f>815.6-60-90</f>
        <v>665.6</v>
      </c>
      <c r="H99" s="14"/>
      <c r="I99" s="14"/>
      <c r="J99" s="14"/>
      <c r="K99" s="14"/>
      <c r="L99" s="14"/>
      <c r="M99" s="14"/>
      <c r="N99" s="14"/>
      <c r="O99" s="14"/>
      <c r="P99" s="57">
        <f t="shared" si="35"/>
        <v>0</v>
      </c>
      <c r="Q99" s="18">
        <f t="shared" si="38"/>
        <v>0</v>
      </c>
    </row>
    <row r="100" spans="1:17" ht="68.25" customHeight="1" hidden="1" outlineLevel="3">
      <c r="A100" s="64"/>
      <c r="B100" s="112" t="s">
        <v>317</v>
      </c>
      <c r="C100" s="55" t="s">
        <v>56</v>
      </c>
      <c r="D100" s="63" t="s">
        <v>61</v>
      </c>
      <c r="E100" s="11" t="s">
        <v>3</v>
      </c>
      <c r="F100" s="56">
        <f t="shared" si="34"/>
        <v>2171.1</v>
      </c>
      <c r="G100" s="14"/>
      <c r="H100" s="14">
        <v>2171.1</v>
      </c>
      <c r="I100" s="14"/>
      <c r="J100" s="14"/>
      <c r="K100" s="14"/>
      <c r="L100" s="14"/>
      <c r="M100" s="14"/>
      <c r="N100" s="14"/>
      <c r="O100" s="14"/>
      <c r="P100" s="57">
        <f t="shared" si="35"/>
        <v>0</v>
      </c>
      <c r="Q100" s="18">
        <f t="shared" si="38"/>
        <v>0</v>
      </c>
    </row>
    <row r="101" spans="1:17" ht="33.75" customHeight="1" hidden="1" outlineLevel="3">
      <c r="A101" s="64"/>
      <c r="B101" s="112" t="s">
        <v>383</v>
      </c>
      <c r="C101" s="55" t="s">
        <v>56</v>
      </c>
      <c r="D101" s="63" t="s">
        <v>61</v>
      </c>
      <c r="E101" s="11" t="s">
        <v>3</v>
      </c>
      <c r="F101" s="56">
        <f t="shared" si="34"/>
        <v>10</v>
      </c>
      <c r="G101" s="14"/>
      <c r="H101" s="14">
        <v>10</v>
      </c>
      <c r="I101" s="14"/>
      <c r="J101" s="14"/>
      <c r="K101" s="14"/>
      <c r="L101" s="14"/>
      <c r="M101" s="14"/>
      <c r="N101" s="14"/>
      <c r="O101" s="14"/>
      <c r="P101" s="57">
        <f t="shared" si="35"/>
        <v>0</v>
      </c>
      <c r="Q101" s="18">
        <f t="shared" si="38"/>
        <v>0</v>
      </c>
    </row>
    <row r="102" spans="1:17" ht="25.5" customHeight="1" hidden="1" outlineLevel="3">
      <c r="A102" s="64"/>
      <c r="B102" s="112" t="s">
        <v>371</v>
      </c>
      <c r="C102" s="55" t="s">
        <v>56</v>
      </c>
      <c r="D102" s="63" t="s">
        <v>61</v>
      </c>
      <c r="E102" s="11" t="s">
        <v>3</v>
      </c>
      <c r="F102" s="56">
        <f t="shared" si="34"/>
        <v>621.8</v>
      </c>
      <c r="G102" s="14"/>
      <c r="H102" s="14">
        <v>621.8</v>
      </c>
      <c r="I102" s="14"/>
      <c r="J102" s="14"/>
      <c r="K102" s="14"/>
      <c r="L102" s="14"/>
      <c r="M102" s="14"/>
      <c r="N102" s="14"/>
      <c r="O102" s="14"/>
      <c r="P102" s="57">
        <f t="shared" si="35"/>
        <v>0</v>
      </c>
      <c r="Q102" s="18">
        <f t="shared" si="38"/>
        <v>0</v>
      </c>
    </row>
    <row r="103" spans="1:17" ht="25.5" customHeight="1" hidden="1" outlineLevel="3">
      <c r="A103" s="64"/>
      <c r="B103" s="112" t="s">
        <v>372</v>
      </c>
      <c r="C103" s="55" t="s">
        <v>56</v>
      </c>
      <c r="D103" s="63" t="s">
        <v>61</v>
      </c>
      <c r="E103" s="11" t="s">
        <v>3</v>
      </c>
      <c r="F103" s="56">
        <f t="shared" si="34"/>
        <v>439.4</v>
      </c>
      <c r="G103" s="14"/>
      <c r="H103" s="14">
        <v>439.4</v>
      </c>
      <c r="I103" s="14"/>
      <c r="J103" s="14"/>
      <c r="K103" s="14"/>
      <c r="L103" s="14"/>
      <c r="M103" s="14"/>
      <c r="N103" s="14"/>
      <c r="O103" s="14"/>
      <c r="P103" s="57">
        <f t="shared" si="35"/>
        <v>0</v>
      </c>
      <c r="Q103" s="18">
        <f t="shared" si="38"/>
        <v>0</v>
      </c>
    </row>
    <row r="104" spans="1:17" ht="25.5" customHeight="1" hidden="1" outlineLevel="3">
      <c r="A104" s="64"/>
      <c r="B104" s="112" t="s">
        <v>384</v>
      </c>
      <c r="C104" s="55" t="s">
        <v>56</v>
      </c>
      <c r="D104" s="63" t="s">
        <v>61</v>
      </c>
      <c r="E104" s="11" t="s">
        <v>3</v>
      </c>
      <c r="F104" s="56">
        <f t="shared" si="34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57">
        <f t="shared" si="35"/>
        <v>0</v>
      </c>
      <c r="Q104" s="18">
        <f t="shared" si="38"/>
        <v>0</v>
      </c>
    </row>
    <row r="105" spans="1:17" ht="25.5" customHeight="1" hidden="1" outlineLevel="3">
      <c r="A105" s="64"/>
      <c r="B105" s="112" t="s">
        <v>386</v>
      </c>
      <c r="C105" s="55" t="s">
        <v>56</v>
      </c>
      <c r="D105" s="63" t="s">
        <v>61</v>
      </c>
      <c r="E105" s="11" t="s">
        <v>3</v>
      </c>
      <c r="F105" s="56">
        <f t="shared" si="34"/>
        <v>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57">
        <f t="shared" si="35"/>
        <v>0</v>
      </c>
      <c r="Q105" s="18">
        <f t="shared" si="38"/>
        <v>0</v>
      </c>
    </row>
    <row r="106" spans="1:17" ht="25.5" customHeight="1" hidden="1" outlineLevel="3">
      <c r="A106" s="64"/>
      <c r="B106" s="112" t="s">
        <v>385</v>
      </c>
      <c r="C106" s="55" t="s">
        <v>56</v>
      </c>
      <c r="D106" s="63" t="s">
        <v>61</v>
      </c>
      <c r="E106" s="11" t="s">
        <v>3</v>
      </c>
      <c r="F106" s="56">
        <f aca="true" t="shared" si="53" ref="F106:F169">G106+H106+I106+J106+K106+L106+M106+N106+O106</f>
        <v>0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57">
        <f aca="true" t="shared" si="54" ref="P106:P169">L106+K106+J106+I106+H106+G106-F106</f>
        <v>0</v>
      </c>
      <c r="Q106" s="18">
        <f t="shared" si="38"/>
        <v>0</v>
      </c>
    </row>
    <row r="107" spans="1:17" ht="25.5" customHeight="1" hidden="1" outlineLevel="3">
      <c r="A107" s="64"/>
      <c r="B107" s="112" t="s">
        <v>428</v>
      </c>
      <c r="C107" s="55" t="s">
        <v>56</v>
      </c>
      <c r="D107" s="63" t="s">
        <v>61</v>
      </c>
      <c r="E107" s="11" t="s">
        <v>3</v>
      </c>
      <c r="F107" s="56">
        <f t="shared" si="53"/>
        <v>65.8</v>
      </c>
      <c r="G107" s="14"/>
      <c r="H107" s="14"/>
      <c r="I107" s="14">
        <v>65.8</v>
      </c>
      <c r="J107" s="14"/>
      <c r="K107" s="14"/>
      <c r="L107" s="14"/>
      <c r="M107" s="14"/>
      <c r="N107" s="14"/>
      <c r="O107" s="14"/>
      <c r="P107" s="57">
        <f t="shared" si="54"/>
        <v>0</v>
      </c>
      <c r="Q107" s="18">
        <f t="shared" si="38"/>
        <v>0</v>
      </c>
    </row>
    <row r="108" spans="1:17" ht="34.5" customHeight="1" hidden="1" outlineLevel="3">
      <c r="A108" s="64" t="s">
        <v>79</v>
      </c>
      <c r="B108" s="112" t="s">
        <v>68</v>
      </c>
      <c r="C108" s="55" t="s">
        <v>56</v>
      </c>
      <c r="D108" s="63" t="s">
        <v>61</v>
      </c>
      <c r="E108" s="11" t="s">
        <v>5</v>
      </c>
      <c r="F108" s="56">
        <f t="shared" si="53"/>
        <v>194.5</v>
      </c>
      <c r="G108" s="14">
        <v>194.5</v>
      </c>
      <c r="H108" s="14"/>
      <c r="I108" s="14"/>
      <c r="J108" s="14"/>
      <c r="K108" s="14"/>
      <c r="L108" s="14"/>
      <c r="M108" s="14"/>
      <c r="N108" s="14"/>
      <c r="O108" s="14"/>
      <c r="P108" s="57">
        <f t="shared" si="54"/>
        <v>0</v>
      </c>
      <c r="Q108" s="18">
        <f t="shared" si="38"/>
        <v>0</v>
      </c>
    </row>
    <row r="109" spans="1:17" ht="49.5" customHeight="1" hidden="1" outlineLevel="3">
      <c r="A109" s="64" t="s">
        <v>80</v>
      </c>
      <c r="B109" s="112" t="s">
        <v>187</v>
      </c>
      <c r="C109" s="55" t="s">
        <v>56</v>
      </c>
      <c r="D109" s="63" t="s">
        <v>61</v>
      </c>
      <c r="E109" s="11" t="s">
        <v>5</v>
      </c>
      <c r="F109" s="56">
        <f t="shared" si="53"/>
        <v>176.3</v>
      </c>
      <c r="G109" s="14">
        <v>176.3</v>
      </c>
      <c r="H109" s="14"/>
      <c r="I109" s="14"/>
      <c r="J109" s="14"/>
      <c r="K109" s="14"/>
      <c r="L109" s="14"/>
      <c r="M109" s="14"/>
      <c r="N109" s="14"/>
      <c r="O109" s="14"/>
      <c r="P109" s="57">
        <f t="shared" si="54"/>
        <v>0</v>
      </c>
      <c r="Q109" s="18">
        <f t="shared" si="38"/>
        <v>0</v>
      </c>
    </row>
    <row r="110" spans="1:17" ht="36" customHeight="1" hidden="1" outlineLevel="3">
      <c r="A110" s="64" t="s">
        <v>104</v>
      </c>
      <c r="B110" s="112" t="s">
        <v>197</v>
      </c>
      <c r="C110" s="55" t="s">
        <v>56</v>
      </c>
      <c r="D110" s="63" t="s">
        <v>61</v>
      </c>
      <c r="E110" s="11" t="s">
        <v>5</v>
      </c>
      <c r="F110" s="56">
        <f t="shared" si="53"/>
        <v>3447</v>
      </c>
      <c r="G110" s="14">
        <v>3447</v>
      </c>
      <c r="H110" s="14"/>
      <c r="I110" s="14"/>
      <c r="J110" s="14"/>
      <c r="K110" s="14"/>
      <c r="L110" s="14"/>
      <c r="M110" s="14"/>
      <c r="N110" s="14"/>
      <c r="O110" s="14"/>
      <c r="P110" s="57">
        <f t="shared" si="54"/>
        <v>0</v>
      </c>
      <c r="Q110" s="18">
        <f t="shared" si="38"/>
        <v>0</v>
      </c>
    </row>
    <row r="111" spans="1:17" ht="49.5" customHeight="1" hidden="1" outlineLevel="3">
      <c r="A111" s="64" t="s">
        <v>154</v>
      </c>
      <c r="B111" s="112" t="s">
        <v>198</v>
      </c>
      <c r="C111" s="55" t="s">
        <v>56</v>
      </c>
      <c r="D111" s="63" t="s">
        <v>61</v>
      </c>
      <c r="E111" s="11" t="s">
        <v>5</v>
      </c>
      <c r="F111" s="56">
        <f t="shared" si="53"/>
        <v>652.5</v>
      </c>
      <c r="G111" s="14">
        <v>652.5</v>
      </c>
      <c r="H111" s="14"/>
      <c r="I111" s="14"/>
      <c r="J111" s="14"/>
      <c r="K111" s="14"/>
      <c r="L111" s="14"/>
      <c r="M111" s="14"/>
      <c r="N111" s="14"/>
      <c r="O111" s="14"/>
      <c r="P111" s="57">
        <f t="shared" si="54"/>
        <v>0</v>
      </c>
      <c r="Q111" s="18">
        <f t="shared" si="38"/>
        <v>0</v>
      </c>
    </row>
    <row r="112" spans="1:17" ht="137.25" customHeight="1" hidden="1" outlineLevel="3">
      <c r="A112" s="64"/>
      <c r="B112" s="112" t="s">
        <v>368</v>
      </c>
      <c r="C112" s="55" t="s">
        <v>56</v>
      </c>
      <c r="D112" s="63" t="s">
        <v>61</v>
      </c>
      <c r="E112" s="11" t="s">
        <v>5</v>
      </c>
      <c r="F112" s="56">
        <f t="shared" si="53"/>
        <v>4273.2</v>
      </c>
      <c r="G112" s="14"/>
      <c r="H112" s="14">
        <v>4273.2</v>
      </c>
      <c r="I112" s="14"/>
      <c r="J112" s="14"/>
      <c r="K112" s="14"/>
      <c r="L112" s="14"/>
      <c r="M112" s="14"/>
      <c r="N112" s="14"/>
      <c r="O112" s="14"/>
      <c r="P112" s="57">
        <f t="shared" si="54"/>
        <v>0</v>
      </c>
      <c r="Q112" s="18">
        <f t="shared" si="38"/>
        <v>0</v>
      </c>
    </row>
    <row r="113" spans="1:17" ht="49.5" customHeight="1" hidden="1" outlineLevel="3">
      <c r="A113" s="64" t="s">
        <v>155</v>
      </c>
      <c r="B113" s="112" t="s">
        <v>199</v>
      </c>
      <c r="C113" s="55" t="s">
        <v>56</v>
      </c>
      <c r="D113" s="63" t="s">
        <v>61</v>
      </c>
      <c r="E113" s="11" t="s">
        <v>5</v>
      </c>
      <c r="F113" s="56">
        <f t="shared" si="53"/>
        <v>232.3</v>
      </c>
      <c r="G113" s="14">
        <v>232.3</v>
      </c>
      <c r="H113" s="14"/>
      <c r="I113" s="14"/>
      <c r="J113" s="14"/>
      <c r="K113" s="14"/>
      <c r="L113" s="14"/>
      <c r="M113" s="14"/>
      <c r="N113" s="14"/>
      <c r="O113" s="14"/>
      <c r="P113" s="57">
        <f t="shared" si="54"/>
        <v>0</v>
      </c>
      <c r="Q113" s="18">
        <f t="shared" si="38"/>
        <v>0</v>
      </c>
    </row>
    <row r="114" spans="1:17" ht="49.5" customHeight="1" hidden="1" outlineLevel="3">
      <c r="A114" s="64"/>
      <c r="B114" s="112" t="s">
        <v>332</v>
      </c>
      <c r="C114" s="55" t="s">
        <v>56</v>
      </c>
      <c r="D114" s="63" t="s">
        <v>61</v>
      </c>
      <c r="E114" s="11" t="s">
        <v>5</v>
      </c>
      <c r="F114" s="56">
        <f t="shared" si="53"/>
        <v>202</v>
      </c>
      <c r="G114" s="14"/>
      <c r="H114" s="14">
        <v>202</v>
      </c>
      <c r="I114" s="14"/>
      <c r="J114" s="14"/>
      <c r="K114" s="14"/>
      <c r="L114" s="14"/>
      <c r="M114" s="14"/>
      <c r="N114" s="14"/>
      <c r="O114" s="14"/>
      <c r="P114" s="57">
        <f t="shared" si="54"/>
        <v>0</v>
      </c>
      <c r="Q114" s="18">
        <f t="shared" si="38"/>
        <v>0</v>
      </c>
    </row>
    <row r="115" spans="1:17" ht="49.5" customHeight="1" hidden="1" outlineLevel="3">
      <c r="A115" s="64"/>
      <c r="B115" s="112" t="s">
        <v>333</v>
      </c>
      <c r="C115" s="55" t="s">
        <v>56</v>
      </c>
      <c r="D115" s="63" t="s">
        <v>61</v>
      </c>
      <c r="E115" s="11" t="s">
        <v>5</v>
      </c>
      <c r="F115" s="56">
        <f t="shared" si="53"/>
        <v>44</v>
      </c>
      <c r="G115" s="14"/>
      <c r="H115" s="14">
        <v>44</v>
      </c>
      <c r="I115" s="14"/>
      <c r="J115" s="14"/>
      <c r="K115" s="14"/>
      <c r="L115" s="14"/>
      <c r="M115" s="14"/>
      <c r="N115" s="14"/>
      <c r="O115" s="14"/>
      <c r="P115" s="57">
        <f t="shared" si="54"/>
        <v>0</v>
      </c>
      <c r="Q115" s="18">
        <f t="shared" si="38"/>
        <v>0</v>
      </c>
    </row>
    <row r="116" spans="1:17" ht="49.5" customHeight="1" hidden="1" outlineLevel="3">
      <c r="A116" s="64"/>
      <c r="B116" s="112" t="s">
        <v>429</v>
      </c>
      <c r="C116" s="55" t="s">
        <v>56</v>
      </c>
      <c r="D116" s="63" t="s">
        <v>61</v>
      </c>
      <c r="E116" s="11" t="s">
        <v>5</v>
      </c>
      <c r="F116" s="56">
        <f t="shared" si="53"/>
        <v>151.5</v>
      </c>
      <c r="G116" s="14"/>
      <c r="H116" s="14"/>
      <c r="I116" s="14">
        <v>151.5</v>
      </c>
      <c r="J116" s="14"/>
      <c r="K116" s="14"/>
      <c r="L116" s="14"/>
      <c r="M116" s="14"/>
      <c r="N116" s="14"/>
      <c r="O116" s="14"/>
      <c r="P116" s="57">
        <f t="shared" si="54"/>
        <v>0</v>
      </c>
      <c r="Q116" s="18">
        <f t="shared" si="38"/>
        <v>0</v>
      </c>
    </row>
    <row r="117" spans="1:17" ht="68.25" customHeight="1" hidden="1" outlineLevel="3">
      <c r="A117" s="64"/>
      <c r="B117" s="112" t="s">
        <v>430</v>
      </c>
      <c r="C117" s="55" t="s">
        <v>56</v>
      </c>
      <c r="D117" s="63" t="s">
        <v>61</v>
      </c>
      <c r="E117" s="11" t="s">
        <v>5</v>
      </c>
      <c r="F117" s="56">
        <f t="shared" si="53"/>
        <v>234.5</v>
      </c>
      <c r="G117" s="14"/>
      <c r="H117" s="14"/>
      <c r="I117" s="14">
        <v>234.5</v>
      </c>
      <c r="J117" s="14"/>
      <c r="K117" s="14"/>
      <c r="L117" s="14"/>
      <c r="M117" s="14"/>
      <c r="N117" s="14"/>
      <c r="O117" s="14"/>
      <c r="P117" s="57">
        <f t="shared" si="54"/>
        <v>0</v>
      </c>
      <c r="Q117" s="18">
        <f t="shared" si="38"/>
        <v>0</v>
      </c>
    </row>
    <row r="118" spans="1:17" ht="49.5" customHeight="1" hidden="1" outlineLevel="3">
      <c r="A118" s="64" t="s">
        <v>156</v>
      </c>
      <c r="B118" s="112" t="s">
        <v>340</v>
      </c>
      <c r="C118" s="55" t="s">
        <v>56</v>
      </c>
      <c r="D118" s="63" t="s">
        <v>61</v>
      </c>
      <c r="E118" s="11" t="s">
        <v>8</v>
      </c>
      <c r="F118" s="56">
        <f t="shared" si="53"/>
        <v>200</v>
      </c>
      <c r="G118" s="14">
        <v>100</v>
      </c>
      <c r="H118" s="14">
        <v>100</v>
      </c>
      <c r="I118" s="14"/>
      <c r="J118" s="14"/>
      <c r="K118" s="14"/>
      <c r="L118" s="14"/>
      <c r="M118" s="14"/>
      <c r="N118" s="14"/>
      <c r="O118" s="14"/>
      <c r="P118" s="57">
        <f t="shared" si="54"/>
        <v>0</v>
      </c>
      <c r="Q118" s="18">
        <f t="shared" si="38"/>
        <v>0</v>
      </c>
    </row>
    <row r="119" spans="1:17" ht="49.5" customHeight="1" hidden="1" outlineLevel="3">
      <c r="A119" s="64" t="s">
        <v>169</v>
      </c>
      <c r="B119" s="112" t="s">
        <v>70</v>
      </c>
      <c r="C119" s="55" t="s">
        <v>56</v>
      </c>
      <c r="D119" s="63" t="s">
        <v>61</v>
      </c>
      <c r="E119" s="11" t="s">
        <v>69</v>
      </c>
      <c r="F119" s="56">
        <f t="shared" si="53"/>
        <v>232.3</v>
      </c>
      <c r="G119" s="14">
        <v>232.3</v>
      </c>
      <c r="H119" s="14"/>
      <c r="I119" s="14"/>
      <c r="J119" s="14"/>
      <c r="K119" s="14"/>
      <c r="L119" s="14"/>
      <c r="M119" s="14"/>
      <c r="N119" s="14"/>
      <c r="O119" s="14"/>
      <c r="P119" s="57">
        <f t="shared" si="54"/>
        <v>0</v>
      </c>
      <c r="Q119" s="18">
        <f t="shared" si="38"/>
        <v>0</v>
      </c>
    </row>
    <row r="120" spans="1:17" ht="49.5" customHeight="1" hidden="1" outlineLevel="3">
      <c r="A120" s="64" t="s">
        <v>170</v>
      </c>
      <c r="B120" s="112" t="s">
        <v>71</v>
      </c>
      <c r="C120" s="55" t="s">
        <v>56</v>
      </c>
      <c r="D120" s="63" t="s">
        <v>61</v>
      </c>
      <c r="E120" s="11" t="s">
        <v>69</v>
      </c>
      <c r="F120" s="56">
        <f t="shared" si="53"/>
        <v>117.4</v>
      </c>
      <c r="G120" s="14">
        <v>117.4</v>
      </c>
      <c r="H120" s="14"/>
      <c r="I120" s="14"/>
      <c r="J120" s="14"/>
      <c r="K120" s="14"/>
      <c r="L120" s="14"/>
      <c r="M120" s="14"/>
      <c r="N120" s="14"/>
      <c r="O120" s="14"/>
      <c r="P120" s="57">
        <f t="shared" si="54"/>
        <v>0</v>
      </c>
      <c r="Q120" s="18">
        <f t="shared" si="38"/>
        <v>0</v>
      </c>
    </row>
    <row r="121" spans="1:17" ht="49.5" customHeight="1" hidden="1" outlineLevel="3">
      <c r="A121" s="64" t="s">
        <v>200</v>
      </c>
      <c r="B121" s="112" t="s">
        <v>72</v>
      </c>
      <c r="C121" s="55" t="s">
        <v>56</v>
      </c>
      <c r="D121" s="63" t="s">
        <v>61</v>
      </c>
      <c r="E121" s="11" t="s">
        <v>69</v>
      </c>
      <c r="F121" s="56">
        <f t="shared" si="53"/>
        <v>153.8</v>
      </c>
      <c r="G121" s="14">
        <v>153.8</v>
      </c>
      <c r="H121" s="14"/>
      <c r="I121" s="14"/>
      <c r="J121" s="14"/>
      <c r="K121" s="14"/>
      <c r="L121" s="14"/>
      <c r="M121" s="14"/>
      <c r="N121" s="14"/>
      <c r="O121" s="14"/>
      <c r="P121" s="57">
        <f t="shared" si="54"/>
        <v>0</v>
      </c>
      <c r="Q121" s="18">
        <f t="shared" si="38"/>
        <v>0</v>
      </c>
    </row>
    <row r="122" spans="1:17" ht="49.5" customHeight="1" hidden="1" outlineLevel="3">
      <c r="A122" s="64" t="s">
        <v>201</v>
      </c>
      <c r="B122" s="112" t="s">
        <v>339</v>
      </c>
      <c r="C122" s="55" t="s">
        <v>56</v>
      </c>
      <c r="D122" s="63" t="s">
        <v>61</v>
      </c>
      <c r="E122" s="11" t="s">
        <v>8</v>
      </c>
      <c r="F122" s="56">
        <f t="shared" si="53"/>
        <v>299</v>
      </c>
      <c r="G122" s="14">
        <v>149.5</v>
      </c>
      <c r="H122" s="14">
        <v>149.5</v>
      </c>
      <c r="I122" s="14"/>
      <c r="J122" s="14"/>
      <c r="K122" s="14"/>
      <c r="L122" s="14"/>
      <c r="M122" s="14"/>
      <c r="N122" s="14"/>
      <c r="O122" s="14"/>
      <c r="P122" s="57">
        <f t="shared" si="54"/>
        <v>0</v>
      </c>
      <c r="Q122" s="18">
        <f t="shared" si="38"/>
        <v>0</v>
      </c>
    </row>
    <row r="123" spans="1:17" ht="49.5" customHeight="1" hidden="1" outlineLevel="3">
      <c r="A123" s="64" t="s">
        <v>202</v>
      </c>
      <c r="B123" s="112" t="s">
        <v>203</v>
      </c>
      <c r="C123" s="55" t="s">
        <v>56</v>
      </c>
      <c r="D123" s="63" t="s">
        <v>61</v>
      </c>
      <c r="E123" s="11" t="s">
        <v>69</v>
      </c>
      <c r="F123" s="56">
        <f t="shared" si="53"/>
        <v>398.3</v>
      </c>
      <c r="G123" s="14">
        <v>398.3</v>
      </c>
      <c r="H123" s="14"/>
      <c r="I123" s="14"/>
      <c r="J123" s="14"/>
      <c r="K123" s="14"/>
      <c r="L123" s="14"/>
      <c r="M123" s="14"/>
      <c r="N123" s="14"/>
      <c r="O123" s="14"/>
      <c r="P123" s="57">
        <f t="shared" si="54"/>
        <v>0</v>
      </c>
      <c r="Q123" s="18">
        <f t="shared" si="38"/>
        <v>0</v>
      </c>
    </row>
    <row r="124" spans="1:17" ht="49.5" customHeight="1" hidden="1" outlineLevel="3">
      <c r="A124" s="64" t="s">
        <v>204</v>
      </c>
      <c r="B124" s="112" t="s">
        <v>205</v>
      </c>
      <c r="C124" s="55" t="s">
        <v>56</v>
      </c>
      <c r="D124" s="63" t="s">
        <v>61</v>
      </c>
      <c r="E124" s="11" t="s">
        <v>4</v>
      </c>
      <c r="F124" s="56">
        <f t="shared" si="53"/>
        <v>2455.2999999999997</v>
      </c>
      <c r="G124" s="14">
        <v>2290.6</v>
      </c>
      <c r="H124" s="14">
        <v>164.7</v>
      </c>
      <c r="I124" s="14"/>
      <c r="J124" s="14"/>
      <c r="K124" s="14"/>
      <c r="L124" s="14"/>
      <c r="M124" s="14"/>
      <c r="N124" s="14"/>
      <c r="O124" s="14"/>
      <c r="P124" s="57">
        <f t="shared" si="54"/>
        <v>0</v>
      </c>
      <c r="Q124" s="18">
        <f t="shared" si="38"/>
        <v>0</v>
      </c>
    </row>
    <row r="125" spans="1:17" ht="51" customHeight="1" hidden="1" outlineLevel="3">
      <c r="A125" s="64" t="s">
        <v>206</v>
      </c>
      <c r="B125" s="112" t="s">
        <v>207</v>
      </c>
      <c r="C125" s="55" t="s">
        <v>56</v>
      </c>
      <c r="D125" s="63" t="s">
        <v>61</v>
      </c>
      <c r="E125" s="11" t="s">
        <v>208</v>
      </c>
      <c r="F125" s="56">
        <f t="shared" si="53"/>
        <v>61.6</v>
      </c>
      <c r="G125" s="14">
        <v>61.6</v>
      </c>
      <c r="H125" s="14"/>
      <c r="I125" s="14"/>
      <c r="J125" s="14"/>
      <c r="K125" s="14"/>
      <c r="L125" s="14"/>
      <c r="M125" s="14"/>
      <c r="N125" s="14"/>
      <c r="O125" s="14"/>
      <c r="P125" s="57">
        <f t="shared" si="54"/>
        <v>0</v>
      </c>
      <c r="Q125" s="18">
        <f aca="true" t="shared" si="55" ref="Q125:Q188">O125+N125+M125+L125+K125+J125+I125+H125+G125-F125</f>
        <v>0</v>
      </c>
    </row>
    <row r="126" spans="1:17" ht="34.5" customHeight="1" hidden="1" outlineLevel="3">
      <c r="A126" s="64" t="s">
        <v>209</v>
      </c>
      <c r="B126" s="112" t="s">
        <v>210</v>
      </c>
      <c r="C126" s="55" t="s">
        <v>56</v>
      </c>
      <c r="D126" s="63" t="s">
        <v>61</v>
      </c>
      <c r="E126" s="11" t="s">
        <v>208</v>
      </c>
      <c r="F126" s="56">
        <f t="shared" si="53"/>
        <v>30.7</v>
      </c>
      <c r="G126" s="14">
        <v>30.7</v>
      </c>
      <c r="H126" s="14"/>
      <c r="I126" s="14"/>
      <c r="J126" s="14"/>
      <c r="K126" s="14"/>
      <c r="L126" s="14"/>
      <c r="M126" s="14"/>
      <c r="N126" s="14"/>
      <c r="O126" s="14"/>
      <c r="P126" s="57">
        <f t="shared" si="54"/>
        <v>0</v>
      </c>
      <c r="Q126" s="18">
        <f t="shared" si="55"/>
        <v>0</v>
      </c>
    </row>
    <row r="127" spans="1:17" ht="48.75" customHeight="1" hidden="1" outlineLevel="3">
      <c r="A127" s="64" t="s">
        <v>211</v>
      </c>
      <c r="B127" s="112" t="s">
        <v>167</v>
      </c>
      <c r="C127" s="55" t="s">
        <v>56</v>
      </c>
      <c r="D127" s="63" t="s">
        <v>61</v>
      </c>
      <c r="E127" s="11" t="s">
        <v>158</v>
      </c>
      <c r="F127" s="56">
        <f t="shared" si="53"/>
        <v>99.4</v>
      </c>
      <c r="G127" s="14">
        <v>99.4</v>
      </c>
      <c r="H127" s="14"/>
      <c r="I127" s="14"/>
      <c r="J127" s="14"/>
      <c r="K127" s="14"/>
      <c r="L127" s="14"/>
      <c r="M127" s="14"/>
      <c r="N127" s="14"/>
      <c r="O127" s="14"/>
      <c r="P127" s="57">
        <f t="shared" si="54"/>
        <v>0</v>
      </c>
      <c r="Q127" s="18">
        <f t="shared" si="55"/>
        <v>0</v>
      </c>
    </row>
    <row r="128" spans="1:17" ht="43.5" customHeight="1" hidden="1" outlineLevel="3">
      <c r="A128" s="64" t="s">
        <v>212</v>
      </c>
      <c r="B128" s="112" t="s">
        <v>168</v>
      </c>
      <c r="C128" s="55" t="s">
        <v>56</v>
      </c>
      <c r="D128" s="63" t="s">
        <v>61</v>
      </c>
      <c r="E128" s="11" t="s">
        <v>158</v>
      </c>
      <c r="F128" s="56">
        <f t="shared" si="53"/>
        <v>121.5</v>
      </c>
      <c r="G128" s="14">
        <v>121.5</v>
      </c>
      <c r="H128" s="14"/>
      <c r="I128" s="14"/>
      <c r="J128" s="14"/>
      <c r="K128" s="14"/>
      <c r="L128" s="14"/>
      <c r="M128" s="14"/>
      <c r="N128" s="14"/>
      <c r="O128" s="14"/>
      <c r="P128" s="57">
        <f t="shared" si="54"/>
        <v>0</v>
      </c>
      <c r="Q128" s="18">
        <f t="shared" si="55"/>
        <v>0</v>
      </c>
    </row>
    <row r="129" spans="1:17" ht="43.5" customHeight="1" hidden="1" outlineLevel="3">
      <c r="A129" s="64"/>
      <c r="B129" s="112" t="s">
        <v>328</v>
      </c>
      <c r="C129" s="55" t="s">
        <v>56</v>
      </c>
      <c r="D129" s="63" t="s">
        <v>61</v>
      </c>
      <c r="E129" s="11" t="s">
        <v>158</v>
      </c>
      <c r="F129" s="56">
        <f t="shared" si="53"/>
        <v>106</v>
      </c>
      <c r="G129" s="14"/>
      <c r="H129" s="14">
        <v>106</v>
      </c>
      <c r="I129" s="14"/>
      <c r="J129" s="14"/>
      <c r="K129" s="14"/>
      <c r="L129" s="14"/>
      <c r="M129" s="14"/>
      <c r="N129" s="14"/>
      <c r="O129" s="14"/>
      <c r="P129" s="57">
        <f t="shared" si="54"/>
        <v>0</v>
      </c>
      <c r="Q129" s="18">
        <f t="shared" si="55"/>
        <v>0</v>
      </c>
    </row>
    <row r="130" spans="1:17" ht="43.5" customHeight="1" hidden="1" outlineLevel="3">
      <c r="A130" s="64"/>
      <c r="B130" s="112" t="s">
        <v>388</v>
      </c>
      <c r="C130" s="55" t="s">
        <v>56</v>
      </c>
      <c r="D130" s="63" t="s">
        <v>61</v>
      </c>
      <c r="E130" s="11" t="s">
        <v>158</v>
      </c>
      <c r="F130" s="56">
        <f t="shared" si="53"/>
        <v>0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57">
        <f t="shared" si="54"/>
        <v>0</v>
      </c>
      <c r="Q130" s="18">
        <f t="shared" si="55"/>
        <v>0</v>
      </c>
    </row>
    <row r="131" spans="1:17" ht="43.5" customHeight="1" hidden="1" outlineLevel="3">
      <c r="A131" s="64"/>
      <c r="B131" s="112" t="s">
        <v>389</v>
      </c>
      <c r="C131" s="55" t="s">
        <v>56</v>
      </c>
      <c r="D131" s="63" t="s">
        <v>61</v>
      </c>
      <c r="E131" s="11" t="s">
        <v>158</v>
      </c>
      <c r="F131" s="56">
        <f t="shared" si="53"/>
        <v>0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57">
        <f t="shared" si="54"/>
        <v>0</v>
      </c>
      <c r="Q131" s="18">
        <f t="shared" si="55"/>
        <v>0</v>
      </c>
    </row>
    <row r="132" spans="1:17" ht="43.5" customHeight="1" hidden="1" outlineLevel="3">
      <c r="A132" s="64"/>
      <c r="B132" s="112" t="s">
        <v>390</v>
      </c>
      <c r="C132" s="55" t="s">
        <v>56</v>
      </c>
      <c r="D132" s="63" t="s">
        <v>61</v>
      </c>
      <c r="E132" s="11" t="s">
        <v>158</v>
      </c>
      <c r="F132" s="56">
        <f t="shared" si="53"/>
        <v>0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57">
        <f t="shared" si="54"/>
        <v>0</v>
      </c>
      <c r="Q132" s="18">
        <f t="shared" si="55"/>
        <v>0</v>
      </c>
    </row>
    <row r="133" spans="1:17" ht="81.75" customHeight="1" hidden="1" outlineLevel="3">
      <c r="A133" s="64"/>
      <c r="B133" s="112" t="s">
        <v>431</v>
      </c>
      <c r="C133" s="55" t="s">
        <v>56</v>
      </c>
      <c r="D133" s="63" t="s">
        <v>61</v>
      </c>
      <c r="E133" s="11" t="s">
        <v>158</v>
      </c>
      <c r="F133" s="56">
        <f t="shared" si="53"/>
        <v>8046.9</v>
      </c>
      <c r="G133" s="14"/>
      <c r="H133" s="14"/>
      <c r="I133" s="14"/>
      <c r="J133" s="14">
        <v>8046.9</v>
      </c>
      <c r="K133" s="14"/>
      <c r="L133" s="14"/>
      <c r="M133" s="14"/>
      <c r="N133" s="14"/>
      <c r="O133" s="14"/>
      <c r="P133" s="57">
        <f t="shared" si="54"/>
        <v>0</v>
      </c>
      <c r="Q133" s="18">
        <f t="shared" si="55"/>
        <v>0</v>
      </c>
    </row>
    <row r="134" spans="1:17" ht="48.75" customHeight="1" hidden="1" outlineLevel="3">
      <c r="A134" s="64" t="s">
        <v>283</v>
      </c>
      <c r="B134" s="112" t="s">
        <v>284</v>
      </c>
      <c r="C134" s="55" t="s">
        <v>56</v>
      </c>
      <c r="D134" s="63" t="s">
        <v>61</v>
      </c>
      <c r="E134" s="11" t="s">
        <v>8</v>
      </c>
      <c r="F134" s="56">
        <f t="shared" si="53"/>
        <v>3900.1000000000004</v>
      </c>
      <c r="G134" s="14">
        <f>4370-176.9-293</f>
        <v>3900.1000000000004</v>
      </c>
      <c r="H134" s="14"/>
      <c r="I134" s="14"/>
      <c r="J134" s="14"/>
      <c r="K134" s="14"/>
      <c r="L134" s="14"/>
      <c r="M134" s="14"/>
      <c r="N134" s="14"/>
      <c r="O134" s="14"/>
      <c r="P134" s="57">
        <f t="shared" si="54"/>
        <v>0</v>
      </c>
      <c r="Q134" s="18">
        <f t="shared" si="55"/>
        <v>0</v>
      </c>
    </row>
    <row r="135" spans="1:17" ht="25.5" customHeight="1" hidden="1" outlineLevel="3">
      <c r="A135" s="64"/>
      <c r="B135" s="112" t="s">
        <v>309</v>
      </c>
      <c r="C135" s="55" t="s">
        <v>56</v>
      </c>
      <c r="D135" s="63" t="s">
        <v>61</v>
      </c>
      <c r="E135" s="11" t="s">
        <v>8</v>
      </c>
      <c r="F135" s="56">
        <f t="shared" si="53"/>
        <v>99.5</v>
      </c>
      <c r="G135" s="14">
        <v>99.5</v>
      </c>
      <c r="H135" s="14"/>
      <c r="I135" s="14"/>
      <c r="J135" s="14"/>
      <c r="K135" s="14"/>
      <c r="L135" s="14"/>
      <c r="M135" s="14"/>
      <c r="N135" s="14"/>
      <c r="O135" s="14"/>
      <c r="P135" s="57">
        <f t="shared" si="54"/>
        <v>0</v>
      </c>
      <c r="Q135" s="18">
        <f t="shared" si="55"/>
        <v>0</v>
      </c>
    </row>
    <row r="136" spans="1:17" ht="50.25" customHeight="1" hidden="1" outlineLevel="3">
      <c r="A136" s="64"/>
      <c r="B136" s="112" t="s">
        <v>314</v>
      </c>
      <c r="C136" s="55" t="s">
        <v>56</v>
      </c>
      <c r="D136" s="63" t="s">
        <v>61</v>
      </c>
      <c r="E136" s="11" t="s">
        <v>8</v>
      </c>
      <c r="F136" s="56">
        <f t="shared" si="53"/>
        <v>90</v>
      </c>
      <c r="G136" s="14">
        <v>90</v>
      </c>
      <c r="H136" s="14"/>
      <c r="I136" s="14"/>
      <c r="J136" s="14"/>
      <c r="K136" s="14"/>
      <c r="L136" s="14"/>
      <c r="M136" s="14"/>
      <c r="N136" s="14"/>
      <c r="O136" s="14"/>
      <c r="P136" s="57">
        <f t="shared" si="54"/>
        <v>0</v>
      </c>
      <c r="Q136" s="18">
        <f t="shared" si="55"/>
        <v>0</v>
      </c>
    </row>
    <row r="137" spans="1:17" ht="48.75" customHeight="1" hidden="1" outlineLevel="3">
      <c r="A137" s="64" t="s">
        <v>286</v>
      </c>
      <c r="B137" s="112" t="s">
        <v>285</v>
      </c>
      <c r="C137" s="55" t="s">
        <v>56</v>
      </c>
      <c r="D137" s="63" t="s">
        <v>61</v>
      </c>
      <c r="E137" s="11" t="s">
        <v>158</v>
      </c>
      <c r="F137" s="56">
        <f t="shared" si="53"/>
        <v>500</v>
      </c>
      <c r="G137" s="14">
        <v>500</v>
      </c>
      <c r="H137" s="14"/>
      <c r="I137" s="14"/>
      <c r="J137" s="14"/>
      <c r="K137" s="14"/>
      <c r="L137" s="14"/>
      <c r="M137" s="14"/>
      <c r="N137" s="14"/>
      <c r="O137" s="14"/>
      <c r="P137" s="57">
        <f t="shared" si="54"/>
        <v>0</v>
      </c>
      <c r="Q137" s="18">
        <f t="shared" si="55"/>
        <v>0</v>
      </c>
    </row>
    <row r="138" spans="1:17" ht="48.75" customHeight="1" hidden="1" outlineLevel="3">
      <c r="A138" s="64"/>
      <c r="B138" s="112" t="s">
        <v>329</v>
      </c>
      <c r="C138" s="55" t="s">
        <v>56</v>
      </c>
      <c r="D138" s="63" t="s">
        <v>61</v>
      </c>
      <c r="E138" s="11" t="s">
        <v>158</v>
      </c>
      <c r="F138" s="56">
        <f t="shared" si="53"/>
        <v>500</v>
      </c>
      <c r="G138" s="14"/>
      <c r="H138" s="14">
        <v>500</v>
      </c>
      <c r="I138" s="14"/>
      <c r="J138" s="14"/>
      <c r="K138" s="14"/>
      <c r="L138" s="14"/>
      <c r="M138" s="14"/>
      <c r="N138" s="14"/>
      <c r="O138" s="14"/>
      <c r="P138" s="57">
        <f t="shared" si="54"/>
        <v>0</v>
      </c>
      <c r="Q138" s="18">
        <f t="shared" si="55"/>
        <v>0</v>
      </c>
    </row>
    <row r="139" spans="1:17" ht="94.5" customHeight="1" hidden="1" outlineLevel="3">
      <c r="A139" s="64" t="s">
        <v>288</v>
      </c>
      <c r="B139" s="112" t="s">
        <v>294</v>
      </c>
      <c r="C139" s="55" t="s">
        <v>56</v>
      </c>
      <c r="D139" s="63" t="s">
        <v>61</v>
      </c>
      <c r="E139" s="11" t="s">
        <v>158</v>
      </c>
      <c r="F139" s="56">
        <f t="shared" si="53"/>
        <v>864.7</v>
      </c>
      <c r="G139" s="14">
        <v>864.7</v>
      </c>
      <c r="H139" s="14"/>
      <c r="I139" s="14"/>
      <c r="J139" s="14"/>
      <c r="K139" s="14"/>
      <c r="L139" s="14"/>
      <c r="M139" s="14"/>
      <c r="N139" s="14"/>
      <c r="O139" s="14"/>
      <c r="P139" s="57">
        <f t="shared" si="54"/>
        <v>0</v>
      </c>
      <c r="Q139" s="18">
        <f t="shared" si="55"/>
        <v>0</v>
      </c>
    </row>
    <row r="140" spans="1:17" ht="94.5" customHeight="1" hidden="1" outlineLevel="3">
      <c r="A140" s="64"/>
      <c r="B140" s="112" t="s">
        <v>330</v>
      </c>
      <c r="C140" s="55" t="s">
        <v>56</v>
      </c>
      <c r="D140" s="63" t="s">
        <v>61</v>
      </c>
      <c r="E140" s="11" t="s">
        <v>158</v>
      </c>
      <c r="F140" s="56">
        <f t="shared" si="53"/>
        <v>60</v>
      </c>
      <c r="G140" s="14"/>
      <c r="H140" s="14">
        <v>60</v>
      </c>
      <c r="I140" s="14"/>
      <c r="J140" s="14"/>
      <c r="K140" s="14"/>
      <c r="L140" s="14"/>
      <c r="M140" s="14"/>
      <c r="N140" s="14"/>
      <c r="O140" s="14"/>
      <c r="P140" s="57">
        <f t="shared" si="54"/>
        <v>0</v>
      </c>
      <c r="Q140" s="18">
        <f t="shared" si="55"/>
        <v>0</v>
      </c>
    </row>
    <row r="141" spans="1:17" ht="63" customHeight="1" hidden="1" outlineLevel="3">
      <c r="A141" s="64"/>
      <c r="B141" s="112" t="s">
        <v>435</v>
      </c>
      <c r="C141" s="55" t="s">
        <v>56</v>
      </c>
      <c r="D141" s="63" t="s">
        <v>61</v>
      </c>
      <c r="E141" s="11" t="s">
        <v>158</v>
      </c>
      <c r="F141" s="56">
        <f t="shared" si="53"/>
        <v>2378.7</v>
      </c>
      <c r="G141" s="14"/>
      <c r="H141" s="14"/>
      <c r="I141" s="14">
        <v>2378.7</v>
      </c>
      <c r="J141" s="14"/>
      <c r="K141" s="14"/>
      <c r="L141" s="14"/>
      <c r="M141" s="14"/>
      <c r="N141" s="14"/>
      <c r="O141" s="14"/>
      <c r="P141" s="57">
        <f t="shared" si="54"/>
        <v>0</v>
      </c>
      <c r="Q141" s="18">
        <f t="shared" si="55"/>
        <v>0</v>
      </c>
    </row>
    <row r="142" spans="1:17" ht="78.75" customHeight="1" hidden="1" outlineLevel="3">
      <c r="A142" s="64"/>
      <c r="B142" s="112" t="s">
        <v>436</v>
      </c>
      <c r="C142" s="55" t="s">
        <v>56</v>
      </c>
      <c r="D142" s="63" t="s">
        <v>61</v>
      </c>
      <c r="E142" s="11" t="s">
        <v>158</v>
      </c>
      <c r="F142" s="56">
        <f t="shared" si="53"/>
        <v>3785</v>
      </c>
      <c r="G142" s="14"/>
      <c r="H142" s="14"/>
      <c r="I142" s="14"/>
      <c r="J142" s="14">
        <v>3785</v>
      </c>
      <c r="K142" s="14"/>
      <c r="L142" s="14"/>
      <c r="M142" s="14"/>
      <c r="N142" s="14"/>
      <c r="O142" s="14"/>
      <c r="P142" s="57">
        <f t="shared" si="54"/>
        <v>0</v>
      </c>
      <c r="Q142" s="18">
        <f t="shared" si="55"/>
        <v>0</v>
      </c>
    </row>
    <row r="143" spans="1:17" ht="15.75" customHeight="1" hidden="1" outlineLevel="3">
      <c r="A143" s="64"/>
      <c r="B143" s="112" t="s">
        <v>153</v>
      </c>
      <c r="C143" s="55" t="s">
        <v>56</v>
      </c>
      <c r="D143" s="63" t="s">
        <v>61</v>
      </c>
      <c r="E143" s="11" t="s">
        <v>157</v>
      </c>
      <c r="F143" s="56">
        <f t="shared" si="53"/>
        <v>167.8</v>
      </c>
      <c r="G143" s="14">
        <v>167.8</v>
      </c>
      <c r="H143" s="14"/>
      <c r="I143" s="14"/>
      <c r="J143" s="14"/>
      <c r="K143" s="14"/>
      <c r="L143" s="14"/>
      <c r="M143" s="14"/>
      <c r="N143" s="14"/>
      <c r="O143" s="14"/>
      <c r="P143" s="57">
        <f t="shared" si="54"/>
        <v>0</v>
      </c>
      <c r="Q143" s="18">
        <f t="shared" si="55"/>
        <v>0</v>
      </c>
    </row>
    <row r="144" spans="1:17" ht="47.25" customHeight="1" hidden="1" outlineLevel="3">
      <c r="A144" s="64"/>
      <c r="B144" s="112" t="s">
        <v>304</v>
      </c>
      <c r="C144" s="55" t="s">
        <v>56</v>
      </c>
      <c r="D144" s="63" t="s">
        <v>61</v>
      </c>
      <c r="E144" s="11" t="s">
        <v>215</v>
      </c>
      <c r="F144" s="56">
        <f t="shared" si="53"/>
        <v>245.3</v>
      </c>
      <c r="G144" s="14">
        <v>245.3</v>
      </c>
      <c r="H144" s="14"/>
      <c r="I144" s="14"/>
      <c r="J144" s="14"/>
      <c r="K144" s="14"/>
      <c r="L144" s="14"/>
      <c r="M144" s="14"/>
      <c r="N144" s="14"/>
      <c r="O144" s="14"/>
      <c r="P144" s="57">
        <f t="shared" si="54"/>
        <v>0</v>
      </c>
      <c r="Q144" s="18">
        <f t="shared" si="55"/>
        <v>0</v>
      </c>
    </row>
    <row r="145" spans="1:17" ht="15.75" customHeight="1" hidden="1" outlineLevel="3">
      <c r="A145" s="64"/>
      <c r="B145" s="112" t="s">
        <v>305</v>
      </c>
      <c r="C145" s="55" t="s">
        <v>56</v>
      </c>
      <c r="D145" s="63" t="s">
        <v>61</v>
      </c>
      <c r="E145" s="11" t="s">
        <v>215</v>
      </c>
      <c r="F145" s="56">
        <f t="shared" si="53"/>
        <v>100</v>
      </c>
      <c r="G145" s="14">
        <v>100</v>
      </c>
      <c r="H145" s="14"/>
      <c r="I145" s="14"/>
      <c r="J145" s="14"/>
      <c r="K145" s="14"/>
      <c r="L145" s="14"/>
      <c r="M145" s="14"/>
      <c r="N145" s="14"/>
      <c r="O145" s="14"/>
      <c r="P145" s="57">
        <f t="shared" si="54"/>
        <v>0</v>
      </c>
      <c r="Q145" s="18">
        <f t="shared" si="55"/>
        <v>0</v>
      </c>
    </row>
    <row r="146" spans="1:17" ht="31.5" customHeight="1" hidden="1" outlineLevel="3">
      <c r="A146" s="64"/>
      <c r="B146" s="112" t="s">
        <v>342</v>
      </c>
      <c r="C146" s="55" t="s">
        <v>56</v>
      </c>
      <c r="D146" s="63" t="s">
        <v>61</v>
      </c>
      <c r="E146" s="11" t="s">
        <v>215</v>
      </c>
      <c r="F146" s="56">
        <f t="shared" si="53"/>
        <v>17</v>
      </c>
      <c r="G146" s="14"/>
      <c r="H146" s="14">
        <v>17</v>
      </c>
      <c r="I146" s="14"/>
      <c r="J146" s="14"/>
      <c r="K146" s="14"/>
      <c r="L146" s="14"/>
      <c r="M146" s="14"/>
      <c r="N146" s="14"/>
      <c r="O146" s="14"/>
      <c r="P146" s="57">
        <f t="shared" si="54"/>
        <v>0</v>
      </c>
      <c r="Q146" s="18">
        <f t="shared" si="55"/>
        <v>0</v>
      </c>
    </row>
    <row r="147" spans="1:17" ht="15.75" customHeight="1" hidden="1" outlineLevel="3">
      <c r="A147" s="64"/>
      <c r="B147" s="112" t="s">
        <v>343</v>
      </c>
      <c r="C147" s="55" t="s">
        <v>56</v>
      </c>
      <c r="D147" s="63" t="s">
        <v>61</v>
      </c>
      <c r="E147" s="11" t="s">
        <v>215</v>
      </c>
      <c r="F147" s="56">
        <f t="shared" si="53"/>
        <v>146.9</v>
      </c>
      <c r="G147" s="14"/>
      <c r="H147" s="14">
        <v>146.9</v>
      </c>
      <c r="I147" s="14"/>
      <c r="J147" s="14"/>
      <c r="K147" s="14"/>
      <c r="L147" s="14"/>
      <c r="M147" s="14"/>
      <c r="N147" s="14"/>
      <c r="O147" s="14"/>
      <c r="P147" s="57">
        <f t="shared" si="54"/>
        <v>0</v>
      </c>
      <c r="Q147" s="18">
        <f t="shared" si="55"/>
        <v>0</v>
      </c>
    </row>
    <row r="148" spans="1:17" ht="15.75" customHeight="1" hidden="1" outlineLevel="3">
      <c r="A148" s="64"/>
      <c r="B148" s="112" t="s">
        <v>344</v>
      </c>
      <c r="C148" s="55" t="s">
        <v>56</v>
      </c>
      <c r="D148" s="63" t="s">
        <v>61</v>
      </c>
      <c r="E148" s="11" t="s">
        <v>215</v>
      </c>
      <c r="F148" s="56">
        <f t="shared" si="53"/>
        <v>35</v>
      </c>
      <c r="G148" s="14"/>
      <c r="H148" s="14">
        <v>35</v>
      </c>
      <c r="I148" s="14"/>
      <c r="J148" s="14"/>
      <c r="K148" s="14"/>
      <c r="L148" s="14"/>
      <c r="M148" s="14"/>
      <c r="N148" s="14"/>
      <c r="O148" s="14"/>
      <c r="P148" s="57">
        <f t="shared" si="54"/>
        <v>0</v>
      </c>
      <c r="Q148" s="18">
        <f t="shared" si="55"/>
        <v>0</v>
      </c>
    </row>
    <row r="149" spans="1:17" ht="31.5" customHeight="1" hidden="1" outlineLevel="3">
      <c r="A149" s="64"/>
      <c r="B149" s="112" t="s">
        <v>347</v>
      </c>
      <c r="C149" s="55" t="s">
        <v>56</v>
      </c>
      <c r="D149" s="63" t="s">
        <v>61</v>
      </c>
      <c r="E149" s="11" t="s">
        <v>215</v>
      </c>
      <c r="F149" s="56">
        <f t="shared" si="53"/>
        <v>162</v>
      </c>
      <c r="G149" s="14"/>
      <c r="H149" s="14">
        <v>162</v>
      </c>
      <c r="I149" s="14"/>
      <c r="J149" s="14"/>
      <c r="K149" s="14"/>
      <c r="L149" s="14"/>
      <c r="M149" s="14"/>
      <c r="N149" s="14"/>
      <c r="O149" s="14"/>
      <c r="P149" s="57">
        <f t="shared" si="54"/>
        <v>0</v>
      </c>
      <c r="Q149" s="18">
        <f t="shared" si="55"/>
        <v>0</v>
      </c>
    </row>
    <row r="150" spans="1:17" ht="47.25" customHeight="1" hidden="1" outlineLevel="3">
      <c r="A150" s="64"/>
      <c r="B150" s="112" t="s">
        <v>369</v>
      </c>
      <c r="C150" s="55" t="s">
        <v>56</v>
      </c>
      <c r="D150" s="63" t="s">
        <v>61</v>
      </c>
      <c r="E150" s="11" t="s">
        <v>215</v>
      </c>
      <c r="F150" s="56">
        <f t="shared" si="53"/>
        <v>207.5</v>
      </c>
      <c r="G150" s="14"/>
      <c r="H150" s="14">
        <v>207.5</v>
      </c>
      <c r="I150" s="14"/>
      <c r="J150" s="14"/>
      <c r="K150" s="14"/>
      <c r="L150" s="14"/>
      <c r="M150" s="14"/>
      <c r="N150" s="14"/>
      <c r="O150" s="14"/>
      <c r="P150" s="57">
        <f t="shared" si="54"/>
        <v>0</v>
      </c>
      <c r="Q150" s="18">
        <f t="shared" si="55"/>
        <v>0</v>
      </c>
    </row>
    <row r="151" spans="1:17" ht="31.5" customHeight="1" hidden="1" outlineLevel="3">
      <c r="A151" s="64"/>
      <c r="B151" s="112" t="s">
        <v>370</v>
      </c>
      <c r="C151" s="55" t="s">
        <v>56</v>
      </c>
      <c r="D151" s="63" t="s">
        <v>61</v>
      </c>
      <c r="E151" s="11" t="s">
        <v>215</v>
      </c>
      <c r="F151" s="56">
        <f t="shared" si="53"/>
        <v>98.9</v>
      </c>
      <c r="G151" s="14"/>
      <c r="H151" s="14">
        <v>98.9</v>
      </c>
      <c r="I151" s="14"/>
      <c r="J151" s="14"/>
      <c r="K151" s="14"/>
      <c r="L151" s="14"/>
      <c r="M151" s="14"/>
      <c r="N151" s="14"/>
      <c r="O151" s="14"/>
      <c r="P151" s="57">
        <f t="shared" si="54"/>
        <v>0</v>
      </c>
      <c r="Q151" s="18">
        <f t="shared" si="55"/>
        <v>0</v>
      </c>
    </row>
    <row r="152" spans="1:17" ht="47.25" customHeight="1" hidden="1" outlineLevel="3">
      <c r="A152" s="64"/>
      <c r="B152" s="112" t="s">
        <v>380</v>
      </c>
      <c r="C152" s="55" t="s">
        <v>56</v>
      </c>
      <c r="D152" s="63" t="s">
        <v>61</v>
      </c>
      <c r="E152" s="11" t="s">
        <v>215</v>
      </c>
      <c r="F152" s="56">
        <f t="shared" si="53"/>
        <v>83.1</v>
      </c>
      <c r="G152" s="14"/>
      <c r="H152" s="14">
        <v>83.1</v>
      </c>
      <c r="I152" s="14"/>
      <c r="J152" s="14"/>
      <c r="K152" s="14"/>
      <c r="L152" s="14"/>
      <c r="M152" s="14"/>
      <c r="N152" s="14"/>
      <c r="O152" s="14"/>
      <c r="P152" s="57">
        <f t="shared" si="54"/>
        <v>0</v>
      </c>
      <c r="Q152" s="18">
        <f t="shared" si="55"/>
        <v>0</v>
      </c>
    </row>
    <row r="153" spans="1:17" ht="31.5" customHeight="1" hidden="1" outlineLevel="3">
      <c r="A153" s="64"/>
      <c r="B153" s="112" t="s">
        <v>434</v>
      </c>
      <c r="C153" s="55" t="s">
        <v>56</v>
      </c>
      <c r="D153" s="63" t="s">
        <v>61</v>
      </c>
      <c r="E153" s="11" t="s">
        <v>215</v>
      </c>
      <c r="F153" s="56">
        <f t="shared" si="53"/>
        <v>3558.8</v>
      </c>
      <c r="G153" s="14"/>
      <c r="H153" s="14"/>
      <c r="I153" s="14">
        <v>3558.8</v>
      </c>
      <c r="J153" s="14"/>
      <c r="K153" s="14"/>
      <c r="L153" s="14"/>
      <c r="M153" s="14"/>
      <c r="N153" s="14"/>
      <c r="O153" s="14"/>
      <c r="P153" s="57">
        <f t="shared" si="54"/>
        <v>0</v>
      </c>
      <c r="Q153" s="18">
        <f t="shared" si="55"/>
        <v>0</v>
      </c>
    </row>
    <row r="154" spans="1:17" ht="78.75" customHeight="1" hidden="1" outlineLevel="3">
      <c r="A154" s="64"/>
      <c r="B154" s="112" t="s">
        <v>381</v>
      </c>
      <c r="C154" s="55" t="s">
        <v>56</v>
      </c>
      <c r="D154" s="63" t="s">
        <v>61</v>
      </c>
      <c r="E154" s="11" t="s">
        <v>215</v>
      </c>
      <c r="F154" s="56">
        <f t="shared" si="53"/>
        <v>39.3</v>
      </c>
      <c r="G154" s="14"/>
      <c r="H154" s="14">
        <v>39.3</v>
      </c>
      <c r="I154" s="14"/>
      <c r="J154" s="14"/>
      <c r="K154" s="14"/>
      <c r="L154" s="14"/>
      <c r="M154" s="14"/>
      <c r="N154" s="14"/>
      <c r="O154" s="14"/>
      <c r="P154" s="57">
        <f t="shared" si="54"/>
        <v>0</v>
      </c>
      <c r="Q154" s="18">
        <f t="shared" si="55"/>
        <v>0</v>
      </c>
    </row>
    <row r="155" spans="1:17" ht="15.75" customHeight="1" hidden="1" outlineLevel="3">
      <c r="A155" s="64"/>
      <c r="B155" s="112"/>
      <c r="C155" s="55"/>
      <c r="D155" s="63"/>
      <c r="E155" s="11"/>
      <c r="F155" s="56">
        <f t="shared" si="53"/>
        <v>12368.600000000002</v>
      </c>
      <c r="G155" s="14"/>
      <c r="H155" s="14">
        <f>2128.9+73.1</f>
        <v>2202</v>
      </c>
      <c r="I155" s="14">
        <f>3152.1+547</f>
        <v>3699.1</v>
      </c>
      <c r="J155" s="14">
        <f>4746.1-210</f>
        <v>4536.1</v>
      </c>
      <c r="K155" s="14">
        <v>965.7</v>
      </c>
      <c r="L155" s="14">
        <v>965.7</v>
      </c>
      <c r="M155" s="14"/>
      <c r="N155" s="14"/>
      <c r="O155" s="14"/>
      <c r="P155" s="57">
        <f t="shared" si="54"/>
        <v>0</v>
      </c>
      <c r="Q155" s="18">
        <f t="shared" si="55"/>
        <v>0</v>
      </c>
    </row>
    <row r="156" spans="1:17" ht="31.5" customHeight="1" hidden="1" outlineLevel="3">
      <c r="A156" s="64"/>
      <c r="B156" s="112" t="s">
        <v>345</v>
      </c>
      <c r="C156" s="55" t="s">
        <v>56</v>
      </c>
      <c r="D156" s="63" t="s">
        <v>61</v>
      </c>
      <c r="E156" s="11" t="s">
        <v>215</v>
      </c>
      <c r="F156" s="56">
        <f t="shared" si="53"/>
        <v>0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57">
        <f t="shared" si="54"/>
        <v>0</v>
      </c>
      <c r="Q156" s="18">
        <f t="shared" si="55"/>
        <v>0</v>
      </c>
    </row>
    <row r="157" spans="1:17" ht="31.5" customHeight="1" hidden="1" outlineLevel="3">
      <c r="A157" s="64" t="s">
        <v>293</v>
      </c>
      <c r="B157" s="112" t="s">
        <v>287</v>
      </c>
      <c r="C157" s="55" t="s">
        <v>56</v>
      </c>
      <c r="D157" s="63" t="s">
        <v>61</v>
      </c>
      <c r="E157" s="11" t="s">
        <v>160</v>
      </c>
      <c r="F157" s="56">
        <f t="shared" si="53"/>
        <v>45.3</v>
      </c>
      <c r="G157" s="14">
        <v>45.3</v>
      </c>
      <c r="H157" s="14"/>
      <c r="I157" s="14"/>
      <c r="J157" s="14"/>
      <c r="K157" s="14"/>
      <c r="L157" s="14"/>
      <c r="M157" s="14"/>
      <c r="N157" s="14"/>
      <c r="O157" s="14"/>
      <c r="P157" s="57">
        <f t="shared" si="54"/>
        <v>0</v>
      </c>
      <c r="Q157" s="18">
        <f t="shared" si="55"/>
        <v>0</v>
      </c>
    </row>
    <row r="158" spans="1:17" ht="15.75" customHeight="1" hidden="1" outlineLevel="3">
      <c r="A158" s="64"/>
      <c r="B158" s="112"/>
      <c r="C158" s="55"/>
      <c r="D158" s="55"/>
      <c r="E158" s="11"/>
      <c r="F158" s="56">
        <f t="shared" si="53"/>
        <v>0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57">
        <f t="shared" si="54"/>
        <v>0</v>
      </c>
      <c r="Q158" s="18">
        <f t="shared" si="55"/>
        <v>0</v>
      </c>
    </row>
    <row r="159" spans="1:18" s="38" customFormat="1" ht="31.5" customHeight="1" hidden="1" outlineLevel="2">
      <c r="A159" s="123" t="s">
        <v>82</v>
      </c>
      <c r="B159" s="127" t="s">
        <v>81</v>
      </c>
      <c r="C159" s="55" t="s">
        <v>56</v>
      </c>
      <c r="D159" s="63" t="s">
        <v>61</v>
      </c>
      <c r="E159" s="11" t="s">
        <v>244</v>
      </c>
      <c r="F159" s="56">
        <f t="shared" si="53"/>
        <v>266</v>
      </c>
      <c r="G159" s="14">
        <f aca="true" t="shared" si="56" ref="G159:L159">G160</f>
        <v>157.1</v>
      </c>
      <c r="H159" s="14">
        <f t="shared" si="56"/>
        <v>108.9</v>
      </c>
      <c r="I159" s="14">
        <f t="shared" si="56"/>
        <v>0</v>
      </c>
      <c r="J159" s="14">
        <f t="shared" si="56"/>
        <v>0</v>
      </c>
      <c r="K159" s="14">
        <f t="shared" si="56"/>
        <v>0</v>
      </c>
      <c r="L159" s="14">
        <f t="shared" si="56"/>
        <v>0</v>
      </c>
      <c r="M159" s="14"/>
      <c r="N159" s="14"/>
      <c r="O159" s="14"/>
      <c r="P159" s="57">
        <f t="shared" si="54"/>
        <v>0</v>
      </c>
      <c r="Q159" s="18">
        <f t="shared" si="55"/>
        <v>0</v>
      </c>
      <c r="R159" s="37"/>
    </row>
    <row r="160" spans="1:18" s="36" customFormat="1" ht="31.5" customHeight="1" hidden="1" outlineLevel="2">
      <c r="A160" s="124"/>
      <c r="B160" s="128"/>
      <c r="C160" s="55" t="s">
        <v>56</v>
      </c>
      <c r="D160" s="63" t="s">
        <v>61</v>
      </c>
      <c r="E160" s="11" t="s">
        <v>225</v>
      </c>
      <c r="F160" s="56">
        <f t="shared" si="53"/>
        <v>266</v>
      </c>
      <c r="G160" s="14">
        <f>SUM(G161:G162)</f>
        <v>157.1</v>
      </c>
      <c r="H160" s="14">
        <f>SUM(H161:H167)</f>
        <v>108.9</v>
      </c>
      <c r="I160" s="14">
        <f>SUM(I161:I167)</f>
        <v>0</v>
      </c>
      <c r="J160" s="14">
        <f>SUM(J161:J167)</f>
        <v>0</v>
      </c>
      <c r="K160" s="14">
        <f>SUM(K161:K167)</f>
        <v>0</v>
      </c>
      <c r="L160" s="14">
        <f>SUM(L161:L167)</f>
        <v>0</v>
      </c>
      <c r="M160" s="14"/>
      <c r="N160" s="14"/>
      <c r="O160" s="14"/>
      <c r="P160" s="57">
        <f t="shared" si="54"/>
        <v>0</v>
      </c>
      <c r="Q160" s="18">
        <f t="shared" si="55"/>
        <v>0</v>
      </c>
      <c r="R160" s="35"/>
    </row>
    <row r="161" spans="1:18" s="36" customFormat="1" ht="47.25" customHeight="1" hidden="1" outlineLevel="2">
      <c r="A161" s="72" t="s">
        <v>165</v>
      </c>
      <c r="B161" s="111" t="s">
        <v>166</v>
      </c>
      <c r="C161" s="55" t="s">
        <v>56</v>
      </c>
      <c r="D161" s="63" t="s">
        <v>61</v>
      </c>
      <c r="E161" s="11" t="s">
        <v>158</v>
      </c>
      <c r="F161" s="56">
        <f t="shared" si="53"/>
        <v>79.1</v>
      </c>
      <c r="G161" s="14">
        <v>79.1</v>
      </c>
      <c r="H161" s="14"/>
      <c r="I161" s="14"/>
      <c r="J161" s="14"/>
      <c r="K161" s="14"/>
      <c r="L161" s="14"/>
      <c r="M161" s="14"/>
      <c r="N161" s="14"/>
      <c r="O161" s="14"/>
      <c r="P161" s="57">
        <f t="shared" si="54"/>
        <v>0</v>
      </c>
      <c r="Q161" s="18">
        <f t="shared" si="55"/>
        <v>0</v>
      </c>
      <c r="R161" s="35"/>
    </row>
    <row r="162" spans="1:18" s="36" customFormat="1" ht="15.75" customHeight="1" hidden="1" outlineLevel="2">
      <c r="A162" s="72" t="s">
        <v>213</v>
      </c>
      <c r="B162" s="112" t="s">
        <v>214</v>
      </c>
      <c r="C162" s="55" t="s">
        <v>56</v>
      </c>
      <c r="D162" s="63" t="s">
        <v>61</v>
      </c>
      <c r="E162" s="11" t="s">
        <v>215</v>
      </c>
      <c r="F162" s="56">
        <f t="shared" si="53"/>
        <v>78</v>
      </c>
      <c r="G162" s="14">
        <v>78</v>
      </c>
      <c r="H162" s="14"/>
      <c r="I162" s="14"/>
      <c r="J162" s="14"/>
      <c r="K162" s="14"/>
      <c r="L162" s="14"/>
      <c r="M162" s="14"/>
      <c r="N162" s="14"/>
      <c r="O162" s="14"/>
      <c r="P162" s="57">
        <f t="shared" si="54"/>
        <v>0</v>
      </c>
      <c r="Q162" s="18">
        <f t="shared" si="55"/>
        <v>0</v>
      </c>
      <c r="R162" s="35"/>
    </row>
    <row r="163" spans="1:18" s="36" customFormat="1" ht="15.75" customHeight="1" hidden="1" outlineLevel="2">
      <c r="A163" s="72" t="s">
        <v>213</v>
      </c>
      <c r="B163" s="112" t="s">
        <v>341</v>
      </c>
      <c r="C163" s="55" t="s">
        <v>56</v>
      </c>
      <c r="D163" s="63" t="s">
        <v>61</v>
      </c>
      <c r="E163" s="11" t="s">
        <v>215</v>
      </c>
      <c r="F163" s="56">
        <f t="shared" si="53"/>
        <v>23</v>
      </c>
      <c r="G163" s="14"/>
      <c r="H163" s="14">
        <v>23</v>
      </c>
      <c r="I163" s="14"/>
      <c r="J163" s="14"/>
      <c r="K163" s="14"/>
      <c r="L163" s="14"/>
      <c r="M163" s="14"/>
      <c r="N163" s="14"/>
      <c r="O163" s="14"/>
      <c r="P163" s="57">
        <f t="shared" si="54"/>
        <v>0</v>
      </c>
      <c r="Q163" s="18">
        <f t="shared" si="55"/>
        <v>0</v>
      </c>
      <c r="R163" s="35"/>
    </row>
    <row r="164" spans="1:18" s="36" customFormat="1" ht="15.75" customHeight="1" hidden="1" outlineLevel="2">
      <c r="A164" s="72"/>
      <c r="B164" s="112" t="s">
        <v>346</v>
      </c>
      <c r="C164" s="55" t="s">
        <v>56</v>
      </c>
      <c r="D164" s="63" t="s">
        <v>61</v>
      </c>
      <c r="E164" s="11" t="s">
        <v>215</v>
      </c>
      <c r="F164" s="56">
        <f t="shared" si="53"/>
        <v>8.5</v>
      </c>
      <c r="G164" s="14"/>
      <c r="H164" s="14">
        <v>8.5</v>
      </c>
      <c r="I164" s="14"/>
      <c r="J164" s="14"/>
      <c r="K164" s="14"/>
      <c r="L164" s="14"/>
      <c r="M164" s="14"/>
      <c r="N164" s="14"/>
      <c r="O164" s="14"/>
      <c r="P164" s="57">
        <f t="shared" si="54"/>
        <v>0</v>
      </c>
      <c r="Q164" s="18">
        <f t="shared" si="55"/>
        <v>0</v>
      </c>
      <c r="R164" s="35"/>
    </row>
    <row r="165" spans="1:18" s="36" customFormat="1" ht="15.75" customHeight="1" hidden="1" outlineLevel="2">
      <c r="A165" s="72"/>
      <c r="B165" s="112" t="s">
        <v>382</v>
      </c>
      <c r="C165" s="55" t="s">
        <v>56</v>
      </c>
      <c r="D165" s="63" t="s">
        <v>61</v>
      </c>
      <c r="E165" s="11" t="s">
        <v>215</v>
      </c>
      <c r="F165" s="56">
        <f t="shared" si="53"/>
        <v>26</v>
      </c>
      <c r="G165" s="14"/>
      <c r="H165" s="14">
        <v>26</v>
      </c>
      <c r="I165" s="14"/>
      <c r="J165" s="14"/>
      <c r="K165" s="14"/>
      <c r="L165" s="14"/>
      <c r="M165" s="14"/>
      <c r="N165" s="14"/>
      <c r="O165" s="14"/>
      <c r="P165" s="57">
        <f t="shared" si="54"/>
        <v>0</v>
      </c>
      <c r="Q165" s="18">
        <f t="shared" si="55"/>
        <v>0</v>
      </c>
      <c r="R165" s="35"/>
    </row>
    <row r="166" spans="1:18" s="36" customFormat="1" ht="15.75" customHeight="1" hidden="1" outlineLevel="2">
      <c r="A166" s="72"/>
      <c r="B166" s="112" t="s">
        <v>382</v>
      </c>
      <c r="C166" s="55" t="s">
        <v>56</v>
      </c>
      <c r="D166" s="63" t="s">
        <v>61</v>
      </c>
      <c r="E166" s="11" t="s">
        <v>3</v>
      </c>
      <c r="F166" s="56">
        <f t="shared" si="53"/>
        <v>25.4</v>
      </c>
      <c r="G166" s="14"/>
      <c r="H166" s="14">
        <v>25.4</v>
      </c>
      <c r="I166" s="14"/>
      <c r="J166" s="14"/>
      <c r="K166" s="14"/>
      <c r="L166" s="14"/>
      <c r="M166" s="14"/>
      <c r="N166" s="14"/>
      <c r="O166" s="14"/>
      <c r="P166" s="57">
        <f t="shared" si="54"/>
        <v>0</v>
      </c>
      <c r="Q166" s="18">
        <f t="shared" si="55"/>
        <v>0</v>
      </c>
      <c r="R166" s="35"/>
    </row>
    <row r="167" spans="1:18" s="36" customFormat="1" ht="15.75" customHeight="1" hidden="1" outlineLevel="2">
      <c r="A167" s="72" t="s">
        <v>213</v>
      </c>
      <c r="B167" s="112" t="s">
        <v>214</v>
      </c>
      <c r="C167" s="55" t="s">
        <v>56</v>
      </c>
      <c r="D167" s="63" t="s">
        <v>61</v>
      </c>
      <c r="E167" s="11" t="s">
        <v>8</v>
      </c>
      <c r="F167" s="56">
        <f t="shared" si="53"/>
        <v>26</v>
      </c>
      <c r="G167" s="14"/>
      <c r="H167" s="14">
        <v>26</v>
      </c>
      <c r="I167" s="14"/>
      <c r="J167" s="14"/>
      <c r="K167" s="14"/>
      <c r="L167" s="14"/>
      <c r="M167" s="14"/>
      <c r="N167" s="14"/>
      <c r="O167" s="14"/>
      <c r="P167" s="57">
        <f t="shared" si="54"/>
        <v>0</v>
      </c>
      <c r="Q167" s="18">
        <f t="shared" si="55"/>
        <v>0</v>
      </c>
      <c r="R167" s="35"/>
    </row>
    <row r="168" spans="1:18" s="40" customFormat="1" ht="31.5" customHeight="1" hidden="1" outlineLevel="2">
      <c r="A168" s="123" t="s">
        <v>83</v>
      </c>
      <c r="B168" s="109" t="s">
        <v>84</v>
      </c>
      <c r="C168" s="55" t="s">
        <v>56</v>
      </c>
      <c r="D168" s="63" t="s">
        <v>61</v>
      </c>
      <c r="E168" s="11" t="s">
        <v>244</v>
      </c>
      <c r="F168" s="56">
        <f t="shared" si="53"/>
        <v>5066.6</v>
      </c>
      <c r="G168" s="14">
        <f aca="true" t="shared" si="57" ref="G168:L168">G169</f>
        <v>1373.2</v>
      </c>
      <c r="H168" s="14">
        <f t="shared" si="57"/>
        <v>3693.4</v>
      </c>
      <c r="I168" s="14">
        <f t="shared" si="57"/>
        <v>0</v>
      </c>
      <c r="J168" s="14">
        <f t="shared" si="57"/>
        <v>0</v>
      </c>
      <c r="K168" s="14">
        <f t="shared" si="57"/>
        <v>0</v>
      </c>
      <c r="L168" s="14">
        <f t="shared" si="57"/>
        <v>0</v>
      </c>
      <c r="M168" s="14"/>
      <c r="N168" s="14"/>
      <c r="O168" s="14"/>
      <c r="P168" s="57">
        <f t="shared" si="54"/>
        <v>0</v>
      </c>
      <c r="Q168" s="18">
        <f t="shared" si="55"/>
        <v>0</v>
      </c>
      <c r="R168" s="39"/>
    </row>
    <row r="169" spans="1:17" ht="31.5" customHeight="1" hidden="1" outlineLevel="2">
      <c r="A169" s="124"/>
      <c r="B169" s="111"/>
      <c r="C169" s="55" t="s">
        <v>56</v>
      </c>
      <c r="D169" s="63" t="s">
        <v>61</v>
      </c>
      <c r="E169" s="11" t="s">
        <v>225</v>
      </c>
      <c r="F169" s="56">
        <f t="shared" si="53"/>
        <v>5066.6</v>
      </c>
      <c r="G169" s="14">
        <f>SUM(G170:G198)</f>
        <v>1373.2</v>
      </c>
      <c r="H169" s="14">
        <f>SUM(H170:H197)</f>
        <v>3693.4</v>
      </c>
      <c r="I169" s="14">
        <f>SUM(I170:I197)</f>
        <v>0</v>
      </c>
      <c r="J169" s="14">
        <f>SUM(J170:J197)</f>
        <v>0</v>
      </c>
      <c r="K169" s="14">
        <f>SUM(K170:K197)</f>
        <v>0</v>
      </c>
      <c r="L169" s="14">
        <f>SUM(L170:L197)</f>
        <v>0</v>
      </c>
      <c r="M169" s="14"/>
      <c r="N169" s="14"/>
      <c r="O169" s="14"/>
      <c r="P169" s="57">
        <f t="shared" si="54"/>
        <v>0</v>
      </c>
      <c r="Q169" s="18">
        <f t="shared" si="55"/>
        <v>0</v>
      </c>
    </row>
    <row r="170" spans="1:17" ht="12.75" hidden="1" outlineLevel="3">
      <c r="A170" s="64" t="s">
        <v>91</v>
      </c>
      <c r="B170" s="112" t="s">
        <v>85</v>
      </c>
      <c r="C170" s="55" t="s">
        <v>56</v>
      </c>
      <c r="D170" s="63" t="s">
        <v>61</v>
      </c>
      <c r="E170" s="11" t="s">
        <v>8</v>
      </c>
      <c r="F170" s="56">
        <f aca="true" t="shared" si="58" ref="F170:F235">G170+H170+I170+J170+K170+L170+M170+N170+O170</f>
        <v>27</v>
      </c>
      <c r="G170" s="14">
        <v>27</v>
      </c>
      <c r="H170" s="14"/>
      <c r="I170" s="14"/>
      <c r="J170" s="14"/>
      <c r="K170" s="14"/>
      <c r="L170" s="14"/>
      <c r="M170" s="14"/>
      <c r="N170" s="14"/>
      <c r="O170" s="14"/>
      <c r="P170" s="57">
        <f aca="true" t="shared" si="59" ref="P170:P235">L170+K170+J170+I170+H170+G170-F170</f>
        <v>0</v>
      </c>
      <c r="Q170" s="18">
        <f t="shared" si="55"/>
        <v>0</v>
      </c>
    </row>
    <row r="171" spans="1:17" ht="12.75" hidden="1" outlineLevel="3">
      <c r="A171" s="64" t="s">
        <v>92</v>
      </c>
      <c r="B171" s="112" t="s">
        <v>102</v>
      </c>
      <c r="C171" s="55" t="s">
        <v>56</v>
      </c>
      <c r="D171" s="63" t="s">
        <v>61</v>
      </c>
      <c r="E171" s="11" t="s">
        <v>8</v>
      </c>
      <c r="F171" s="56">
        <f t="shared" si="58"/>
        <v>15.2</v>
      </c>
      <c r="G171" s="14">
        <v>15.2</v>
      </c>
      <c r="H171" s="14"/>
      <c r="I171" s="14"/>
      <c r="J171" s="14"/>
      <c r="K171" s="14"/>
      <c r="L171" s="14"/>
      <c r="M171" s="14"/>
      <c r="N171" s="14"/>
      <c r="O171" s="14"/>
      <c r="P171" s="57">
        <f t="shared" si="59"/>
        <v>0</v>
      </c>
      <c r="Q171" s="18">
        <f t="shared" si="55"/>
        <v>0</v>
      </c>
    </row>
    <row r="172" spans="1:17" ht="12.75" hidden="1" outlineLevel="3">
      <c r="A172" s="64" t="s">
        <v>93</v>
      </c>
      <c r="B172" s="112" t="s">
        <v>86</v>
      </c>
      <c r="C172" s="55" t="s">
        <v>56</v>
      </c>
      <c r="D172" s="63" t="s">
        <v>61</v>
      </c>
      <c r="E172" s="11" t="s">
        <v>8</v>
      </c>
      <c r="F172" s="56">
        <f t="shared" si="58"/>
        <v>0</v>
      </c>
      <c r="G172" s="14">
        <f>14.9-14.9</f>
        <v>0</v>
      </c>
      <c r="H172" s="14"/>
      <c r="I172" s="14"/>
      <c r="J172" s="14"/>
      <c r="K172" s="14"/>
      <c r="L172" s="14"/>
      <c r="M172" s="14"/>
      <c r="N172" s="14"/>
      <c r="O172" s="14"/>
      <c r="P172" s="57">
        <f t="shared" si="59"/>
        <v>0</v>
      </c>
      <c r="Q172" s="18">
        <f t="shared" si="55"/>
        <v>0</v>
      </c>
    </row>
    <row r="173" spans="1:17" ht="12.75" hidden="1" outlineLevel="3">
      <c r="A173" s="64"/>
      <c r="B173" s="112" t="s">
        <v>306</v>
      </c>
      <c r="C173" s="55" t="s">
        <v>56</v>
      </c>
      <c r="D173" s="63" t="s">
        <v>61</v>
      </c>
      <c r="E173" s="11" t="s">
        <v>8</v>
      </c>
      <c r="F173" s="56">
        <f t="shared" si="58"/>
        <v>176.9</v>
      </c>
      <c r="G173" s="14">
        <v>176.9</v>
      </c>
      <c r="H173" s="14"/>
      <c r="I173" s="14"/>
      <c r="J173" s="14"/>
      <c r="K173" s="14"/>
      <c r="L173" s="14"/>
      <c r="M173" s="14"/>
      <c r="N173" s="14"/>
      <c r="O173" s="14"/>
      <c r="P173" s="57">
        <f t="shared" si="59"/>
        <v>0</v>
      </c>
      <c r="Q173" s="18">
        <f t="shared" si="55"/>
        <v>0</v>
      </c>
    </row>
    <row r="174" spans="1:17" ht="12.75" hidden="1" outlineLevel="3">
      <c r="A174" s="64"/>
      <c r="B174" s="112" t="s">
        <v>307</v>
      </c>
      <c r="C174" s="55" t="s">
        <v>56</v>
      </c>
      <c r="D174" s="63" t="s">
        <v>61</v>
      </c>
      <c r="E174" s="11" t="s">
        <v>8</v>
      </c>
      <c r="F174" s="56">
        <f t="shared" si="58"/>
        <v>293</v>
      </c>
      <c r="G174" s="14">
        <v>293</v>
      </c>
      <c r="H174" s="14"/>
      <c r="I174" s="14"/>
      <c r="J174" s="14"/>
      <c r="K174" s="14"/>
      <c r="L174" s="14"/>
      <c r="M174" s="14"/>
      <c r="N174" s="14"/>
      <c r="O174" s="14"/>
      <c r="P174" s="57">
        <f t="shared" si="59"/>
        <v>0</v>
      </c>
      <c r="Q174" s="18">
        <f t="shared" si="55"/>
        <v>0</v>
      </c>
    </row>
    <row r="175" spans="1:17" ht="31.5" customHeight="1" hidden="1" outlineLevel="3">
      <c r="A175" s="64"/>
      <c r="B175" s="112" t="s">
        <v>336</v>
      </c>
      <c r="C175" s="55" t="s">
        <v>56</v>
      </c>
      <c r="D175" s="63" t="s">
        <v>61</v>
      </c>
      <c r="E175" s="11" t="s">
        <v>8</v>
      </c>
      <c r="F175" s="56">
        <f t="shared" si="58"/>
        <v>427.4</v>
      </c>
      <c r="G175" s="14"/>
      <c r="H175" s="14">
        <v>427.4</v>
      </c>
      <c r="I175" s="14"/>
      <c r="J175" s="14"/>
      <c r="K175" s="14"/>
      <c r="L175" s="14"/>
      <c r="M175" s="14"/>
      <c r="N175" s="14"/>
      <c r="O175" s="14"/>
      <c r="P175" s="57">
        <f t="shared" si="59"/>
        <v>0</v>
      </c>
      <c r="Q175" s="18">
        <f t="shared" si="55"/>
        <v>0</v>
      </c>
    </row>
    <row r="176" spans="1:17" ht="26.25" hidden="1" outlineLevel="3">
      <c r="A176" s="64"/>
      <c r="B176" s="112" t="s">
        <v>337</v>
      </c>
      <c r="C176" s="55" t="s">
        <v>56</v>
      </c>
      <c r="D176" s="63" t="s">
        <v>61</v>
      </c>
      <c r="E176" s="11" t="s">
        <v>8</v>
      </c>
      <c r="F176" s="56">
        <f t="shared" si="58"/>
        <v>357</v>
      </c>
      <c r="G176" s="14"/>
      <c r="H176" s="14">
        <v>357</v>
      </c>
      <c r="I176" s="14"/>
      <c r="J176" s="14"/>
      <c r="K176" s="14"/>
      <c r="L176" s="14"/>
      <c r="M176" s="14"/>
      <c r="N176" s="14"/>
      <c r="O176" s="14"/>
      <c r="P176" s="57">
        <f t="shared" si="59"/>
        <v>0</v>
      </c>
      <c r="Q176" s="18">
        <f t="shared" si="55"/>
        <v>0</v>
      </c>
    </row>
    <row r="177" spans="1:17" ht="26.25" hidden="1" outlineLevel="3">
      <c r="A177" s="64"/>
      <c r="B177" s="112" t="s">
        <v>338</v>
      </c>
      <c r="C177" s="55" t="s">
        <v>56</v>
      </c>
      <c r="D177" s="63" t="s">
        <v>61</v>
      </c>
      <c r="E177" s="11" t="s">
        <v>8</v>
      </c>
      <c r="F177" s="56">
        <f t="shared" si="58"/>
        <v>352</v>
      </c>
      <c r="G177" s="14"/>
      <c r="H177" s="14">
        <v>352</v>
      </c>
      <c r="I177" s="14"/>
      <c r="J177" s="14"/>
      <c r="K177" s="14"/>
      <c r="L177" s="14"/>
      <c r="M177" s="14"/>
      <c r="N177" s="14"/>
      <c r="O177" s="14"/>
      <c r="P177" s="57">
        <f t="shared" si="59"/>
        <v>0</v>
      </c>
      <c r="Q177" s="18">
        <f t="shared" si="55"/>
        <v>0</v>
      </c>
    </row>
    <row r="178" spans="1:17" ht="12.75" hidden="1" outlineLevel="3">
      <c r="A178" s="64" t="s">
        <v>94</v>
      </c>
      <c r="B178" s="112" t="s">
        <v>87</v>
      </c>
      <c r="C178" s="55" t="s">
        <v>56</v>
      </c>
      <c r="D178" s="63" t="s">
        <v>61</v>
      </c>
      <c r="E178" s="11" t="s">
        <v>6</v>
      </c>
      <c r="F178" s="56">
        <f t="shared" si="58"/>
        <v>12.5</v>
      </c>
      <c r="G178" s="14">
        <v>12.5</v>
      </c>
      <c r="H178" s="14"/>
      <c r="I178" s="14"/>
      <c r="J178" s="14"/>
      <c r="K178" s="14"/>
      <c r="L178" s="14"/>
      <c r="M178" s="14"/>
      <c r="N178" s="14"/>
      <c r="O178" s="14"/>
      <c r="P178" s="57">
        <f t="shared" si="59"/>
        <v>0</v>
      </c>
      <c r="Q178" s="18">
        <f t="shared" si="55"/>
        <v>0</v>
      </c>
    </row>
    <row r="179" spans="1:17" ht="12.75" hidden="1" outlineLevel="3">
      <c r="A179" s="64" t="s">
        <v>95</v>
      </c>
      <c r="B179" s="112" t="s">
        <v>88</v>
      </c>
      <c r="C179" s="55" t="s">
        <v>56</v>
      </c>
      <c r="D179" s="63" t="s">
        <v>61</v>
      </c>
      <c r="E179" s="11" t="s">
        <v>6</v>
      </c>
      <c r="F179" s="56">
        <f t="shared" si="58"/>
        <v>6</v>
      </c>
      <c r="G179" s="14">
        <v>6</v>
      </c>
      <c r="H179" s="14"/>
      <c r="I179" s="14"/>
      <c r="J179" s="14"/>
      <c r="K179" s="14"/>
      <c r="L179" s="14"/>
      <c r="M179" s="14"/>
      <c r="N179" s="14"/>
      <c r="O179" s="14"/>
      <c r="P179" s="57">
        <f t="shared" si="59"/>
        <v>0</v>
      </c>
      <c r="Q179" s="18">
        <f t="shared" si="55"/>
        <v>0</v>
      </c>
    </row>
    <row r="180" spans="1:17" ht="12.75" hidden="1" outlineLevel="3">
      <c r="A180" s="64" t="s">
        <v>96</v>
      </c>
      <c r="B180" s="112" t="s">
        <v>89</v>
      </c>
      <c r="C180" s="55" t="s">
        <v>56</v>
      </c>
      <c r="D180" s="63" t="s">
        <v>61</v>
      </c>
      <c r="E180" s="11" t="s">
        <v>6</v>
      </c>
      <c r="F180" s="56">
        <f t="shared" si="58"/>
        <v>0</v>
      </c>
      <c r="G180" s="14">
        <f>5.1-5.1</f>
        <v>0</v>
      </c>
      <c r="H180" s="14"/>
      <c r="I180" s="14"/>
      <c r="J180" s="14"/>
      <c r="K180" s="14"/>
      <c r="L180" s="14"/>
      <c r="M180" s="14"/>
      <c r="N180" s="14"/>
      <c r="O180" s="14"/>
      <c r="P180" s="57">
        <f t="shared" si="59"/>
        <v>0</v>
      </c>
      <c r="Q180" s="18">
        <f t="shared" si="55"/>
        <v>0</v>
      </c>
    </row>
    <row r="181" spans="1:17" ht="12.75" hidden="1" outlineLevel="3">
      <c r="A181" s="64" t="s">
        <v>97</v>
      </c>
      <c r="B181" s="112" t="s">
        <v>90</v>
      </c>
      <c r="C181" s="55" t="s">
        <v>56</v>
      </c>
      <c r="D181" s="63" t="s">
        <v>61</v>
      </c>
      <c r="E181" s="11" t="s">
        <v>69</v>
      </c>
      <c r="F181" s="56">
        <f t="shared" si="58"/>
        <v>0</v>
      </c>
      <c r="G181" s="14">
        <f>617.4-617.4</f>
        <v>0</v>
      </c>
      <c r="H181" s="14"/>
      <c r="I181" s="14"/>
      <c r="J181" s="14"/>
      <c r="K181" s="14"/>
      <c r="L181" s="14"/>
      <c r="M181" s="14"/>
      <c r="N181" s="14"/>
      <c r="O181" s="14"/>
      <c r="P181" s="57">
        <f t="shared" si="59"/>
        <v>0</v>
      </c>
      <c r="Q181" s="18">
        <f t="shared" si="55"/>
        <v>0</v>
      </c>
    </row>
    <row r="182" spans="1:17" ht="26.25" hidden="1" outlineLevel="3">
      <c r="A182" s="64" t="s">
        <v>107</v>
      </c>
      <c r="B182" s="112" t="s">
        <v>105</v>
      </c>
      <c r="C182" s="55" t="s">
        <v>56</v>
      </c>
      <c r="D182" s="63" t="s">
        <v>61</v>
      </c>
      <c r="E182" s="11" t="s">
        <v>4</v>
      </c>
      <c r="F182" s="56">
        <f t="shared" si="58"/>
        <v>326.2</v>
      </c>
      <c r="G182" s="14">
        <v>326.2</v>
      </c>
      <c r="H182" s="14"/>
      <c r="I182" s="14"/>
      <c r="J182" s="14"/>
      <c r="K182" s="14"/>
      <c r="L182" s="14"/>
      <c r="M182" s="14"/>
      <c r="N182" s="14"/>
      <c r="O182" s="14"/>
      <c r="P182" s="57">
        <f t="shared" si="59"/>
        <v>0</v>
      </c>
      <c r="Q182" s="18">
        <f t="shared" si="55"/>
        <v>0</v>
      </c>
    </row>
    <row r="183" spans="1:17" ht="15.75" customHeight="1" hidden="1" outlineLevel="3">
      <c r="A183" s="64"/>
      <c r="B183" s="112" t="s">
        <v>303</v>
      </c>
      <c r="C183" s="55" t="s">
        <v>56</v>
      </c>
      <c r="D183" s="63" t="s">
        <v>61</v>
      </c>
      <c r="E183" s="11" t="s">
        <v>4</v>
      </c>
      <c r="F183" s="56">
        <f t="shared" si="58"/>
        <v>14.5</v>
      </c>
      <c r="G183" s="14">
        <v>14.5</v>
      </c>
      <c r="H183" s="14"/>
      <c r="I183" s="14"/>
      <c r="J183" s="14"/>
      <c r="K183" s="14"/>
      <c r="L183" s="14"/>
      <c r="M183" s="14"/>
      <c r="N183" s="14"/>
      <c r="O183" s="14"/>
      <c r="P183" s="57">
        <f t="shared" si="59"/>
        <v>0</v>
      </c>
      <c r="Q183" s="18">
        <f t="shared" si="55"/>
        <v>0</v>
      </c>
    </row>
    <row r="184" spans="1:17" ht="12.75" hidden="1" outlineLevel="3">
      <c r="A184" s="64" t="s">
        <v>108</v>
      </c>
      <c r="B184" s="112" t="s">
        <v>106</v>
      </c>
      <c r="C184" s="55" t="s">
        <v>56</v>
      </c>
      <c r="D184" s="63" t="s">
        <v>61</v>
      </c>
      <c r="E184" s="11" t="s">
        <v>4</v>
      </c>
      <c r="F184" s="56">
        <f t="shared" si="58"/>
        <v>347.5</v>
      </c>
      <c r="G184" s="14">
        <v>347.5</v>
      </c>
      <c r="H184" s="14"/>
      <c r="I184" s="14"/>
      <c r="J184" s="14"/>
      <c r="K184" s="14"/>
      <c r="L184" s="14"/>
      <c r="M184" s="14"/>
      <c r="N184" s="14"/>
      <c r="O184" s="14"/>
      <c r="P184" s="57">
        <f t="shared" si="59"/>
        <v>0</v>
      </c>
      <c r="Q184" s="18">
        <f t="shared" si="55"/>
        <v>0</v>
      </c>
    </row>
    <row r="185" spans="1:17" ht="26.25" hidden="1" outlineLevel="3">
      <c r="A185" s="64"/>
      <c r="B185" s="112" t="s">
        <v>324</v>
      </c>
      <c r="C185" s="55" t="s">
        <v>56</v>
      </c>
      <c r="D185" s="63" t="s">
        <v>61</v>
      </c>
      <c r="E185" s="11" t="s">
        <v>4</v>
      </c>
      <c r="F185" s="56">
        <f t="shared" si="58"/>
        <v>461.20000000000005</v>
      </c>
      <c r="G185" s="14"/>
      <c r="H185" s="14">
        <f>513.7-52.5</f>
        <v>461.20000000000005</v>
      </c>
      <c r="I185" s="14"/>
      <c r="J185" s="14"/>
      <c r="K185" s="14"/>
      <c r="L185" s="14"/>
      <c r="M185" s="14"/>
      <c r="N185" s="14"/>
      <c r="O185" s="14"/>
      <c r="P185" s="57">
        <f t="shared" si="59"/>
        <v>0</v>
      </c>
      <c r="Q185" s="18">
        <f t="shared" si="55"/>
        <v>0</v>
      </c>
    </row>
    <row r="186" spans="1:17" ht="12.75" hidden="1" outlineLevel="3">
      <c r="A186" s="64"/>
      <c r="B186" s="112" t="s">
        <v>325</v>
      </c>
      <c r="C186" s="55" t="s">
        <v>56</v>
      </c>
      <c r="D186" s="63" t="s">
        <v>61</v>
      </c>
      <c r="E186" s="11" t="s">
        <v>4</v>
      </c>
      <c r="F186" s="56">
        <f t="shared" si="58"/>
        <v>16.3</v>
      </c>
      <c r="G186" s="14"/>
      <c r="H186" s="14">
        <v>16.3</v>
      </c>
      <c r="I186" s="14"/>
      <c r="J186" s="14"/>
      <c r="K186" s="14"/>
      <c r="L186" s="14"/>
      <c r="M186" s="14"/>
      <c r="N186" s="14"/>
      <c r="O186" s="14"/>
      <c r="P186" s="57">
        <f t="shared" si="59"/>
        <v>0</v>
      </c>
      <c r="Q186" s="18">
        <f t="shared" si="55"/>
        <v>0</v>
      </c>
    </row>
    <row r="187" spans="1:17" ht="26.25" hidden="1" outlineLevel="3">
      <c r="A187" s="64"/>
      <c r="B187" s="112" t="s">
        <v>326</v>
      </c>
      <c r="C187" s="55" t="s">
        <v>56</v>
      </c>
      <c r="D187" s="63" t="s">
        <v>61</v>
      </c>
      <c r="E187" s="11" t="s">
        <v>4</v>
      </c>
      <c r="F187" s="56">
        <f t="shared" si="58"/>
        <v>117</v>
      </c>
      <c r="G187" s="14"/>
      <c r="H187" s="14">
        <v>117</v>
      </c>
      <c r="I187" s="14"/>
      <c r="J187" s="14"/>
      <c r="K187" s="14"/>
      <c r="L187" s="14"/>
      <c r="M187" s="14"/>
      <c r="N187" s="14"/>
      <c r="O187" s="14"/>
      <c r="P187" s="57">
        <f t="shared" si="59"/>
        <v>0</v>
      </c>
      <c r="Q187" s="18">
        <f t="shared" si="55"/>
        <v>0</v>
      </c>
    </row>
    <row r="188" spans="1:17" ht="15.75" customHeight="1" hidden="1" outlineLevel="3">
      <c r="A188" s="64"/>
      <c r="B188" s="112" t="s">
        <v>327</v>
      </c>
      <c r="C188" s="55" t="s">
        <v>56</v>
      </c>
      <c r="D188" s="63" t="s">
        <v>61</v>
      </c>
      <c r="E188" s="11" t="s">
        <v>4</v>
      </c>
      <c r="F188" s="56">
        <f t="shared" si="58"/>
        <v>20</v>
      </c>
      <c r="G188" s="14"/>
      <c r="H188" s="14">
        <v>20</v>
      </c>
      <c r="I188" s="14"/>
      <c r="J188" s="14"/>
      <c r="K188" s="14"/>
      <c r="L188" s="14"/>
      <c r="M188" s="14"/>
      <c r="N188" s="14"/>
      <c r="O188" s="14"/>
      <c r="P188" s="57">
        <f t="shared" si="59"/>
        <v>0</v>
      </c>
      <c r="Q188" s="18">
        <f t="shared" si="55"/>
        <v>0</v>
      </c>
    </row>
    <row r="189" spans="1:17" ht="12.75" hidden="1" outlineLevel="3">
      <c r="A189" s="64"/>
      <c r="B189" s="112" t="s">
        <v>303</v>
      </c>
      <c r="C189" s="55" t="s">
        <v>56</v>
      </c>
      <c r="D189" s="63" t="s">
        <v>61</v>
      </c>
      <c r="E189" s="11" t="s">
        <v>158</v>
      </c>
      <c r="F189" s="56">
        <f t="shared" si="58"/>
        <v>20.5</v>
      </c>
      <c r="G189" s="14">
        <v>20.5</v>
      </c>
      <c r="H189" s="14"/>
      <c r="I189" s="14"/>
      <c r="J189" s="14"/>
      <c r="K189" s="14"/>
      <c r="L189" s="14"/>
      <c r="M189" s="14"/>
      <c r="N189" s="14"/>
      <c r="O189" s="14"/>
      <c r="P189" s="57">
        <f t="shared" si="59"/>
        <v>0</v>
      </c>
      <c r="Q189" s="18">
        <f aca="true" t="shared" si="60" ref="Q189:Q254">O189+N189+M189+L189+K189+J189+I189+H189+G189-F189</f>
        <v>0</v>
      </c>
    </row>
    <row r="190" spans="1:17" ht="39" hidden="1" outlineLevel="3">
      <c r="A190" s="64" t="s">
        <v>182</v>
      </c>
      <c r="B190" s="112" t="s">
        <v>216</v>
      </c>
      <c r="C190" s="55" t="s">
        <v>56</v>
      </c>
      <c r="D190" s="63" t="s">
        <v>61</v>
      </c>
      <c r="E190" s="11" t="s">
        <v>157</v>
      </c>
      <c r="F190" s="56">
        <f t="shared" si="58"/>
        <v>0</v>
      </c>
      <c r="G190" s="14">
        <f>129.7-129.7</f>
        <v>0</v>
      </c>
      <c r="H190" s="14"/>
      <c r="I190" s="14"/>
      <c r="J190" s="14"/>
      <c r="K190" s="14"/>
      <c r="L190" s="14"/>
      <c r="M190" s="14"/>
      <c r="N190" s="14"/>
      <c r="O190" s="14"/>
      <c r="P190" s="57">
        <f t="shared" si="59"/>
        <v>0</v>
      </c>
      <c r="Q190" s="18">
        <f t="shared" si="60"/>
        <v>0</v>
      </c>
    </row>
    <row r="191" spans="1:17" ht="26.25" hidden="1" outlineLevel="3">
      <c r="A191" s="64"/>
      <c r="B191" s="112" t="s">
        <v>318</v>
      </c>
      <c r="C191" s="55" t="s">
        <v>56</v>
      </c>
      <c r="D191" s="63" t="s">
        <v>61</v>
      </c>
      <c r="E191" s="11" t="s">
        <v>3</v>
      </c>
      <c r="F191" s="56">
        <f t="shared" si="58"/>
        <v>21.8</v>
      </c>
      <c r="G191" s="14"/>
      <c r="H191" s="14">
        <v>21.8</v>
      </c>
      <c r="I191" s="14"/>
      <c r="J191" s="14"/>
      <c r="K191" s="14"/>
      <c r="L191" s="14"/>
      <c r="M191" s="14"/>
      <c r="N191" s="14"/>
      <c r="O191" s="14"/>
      <c r="P191" s="57">
        <f t="shared" si="59"/>
        <v>0</v>
      </c>
      <c r="Q191" s="18">
        <f t="shared" si="60"/>
        <v>0</v>
      </c>
    </row>
    <row r="192" spans="1:17" ht="12.75" hidden="1" outlineLevel="3">
      <c r="A192" s="64"/>
      <c r="B192" s="112" t="s">
        <v>387</v>
      </c>
      <c r="C192" s="55" t="s">
        <v>56</v>
      </c>
      <c r="D192" s="63" t="s">
        <v>61</v>
      </c>
      <c r="E192" s="11" t="s">
        <v>3</v>
      </c>
      <c r="F192" s="56">
        <f t="shared" si="58"/>
        <v>1879</v>
      </c>
      <c r="G192" s="14"/>
      <c r="H192" s="14">
        <f>459.4+1419.6</f>
        <v>1879</v>
      </c>
      <c r="I192" s="14"/>
      <c r="J192" s="14"/>
      <c r="K192" s="14"/>
      <c r="L192" s="14"/>
      <c r="M192" s="14"/>
      <c r="N192" s="14"/>
      <c r="O192" s="14"/>
      <c r="P192" s="57">
        <f t="shared" si="59"/>
        <v>0</v>
      </c>
      <c r="Q192" s="18">
        <f t="shared" si="60"/>
        <v>0</v>
      </c>
    </row>
    <row r="193" spans="1:17" ht="12.75" hidden="1" outlineLevel="3">
      <c r="A193" s="64"/>
      <c r="B193" s="112" t="s">
        <v>335</v>
      </c>
      <c r="C193" s="55" t="s">
        <v>56</v>
      </c>
      <c r="D193" s="63" t="s">
        <v>61</v>
      </c>
      <c r="E193" s="11" t="s">
        <v>215</v>
      </c>
      <c r="F193" s="56">
        <f t="shared" si="58"/>
        <v>11.3</v>
      </c>
      <c r="G193" s="14"/>
      <c r="H193" s="14">
        <v>11.3</v>
      </c>
      <c r="I193" s="14"/>
      <c r="J193" s="14"/>
      <c r="K193" s="14"/>
      <c r="L193" s="14"/>
      <c r="M193" s="14"/>
      <c r="N193" s="14"/>
      <c r="O193" s="14"/>
      <c r="P193" s="57">
        <f t="shared" si="59"/>
        <v>0</v>
      </c>
      <c r="Q193" s="18">
        <f t="shared" si="60"/>
        <v>0</v>
      </c>
    </row>
    <row r="194" spans="1:17" ht="15.75" customHeight="1" hidden="1" outlineLevel="3">
      <c r="A194" s="64"/>
      <c r="B194" s="112" t="s">
        <v>334</v>
      </c>
      <c r="C194" s="55" t="s">
        <v>56</v>
      </c>
      <c r="D194" s="63" t="s">
        <v>61</v>
      </c>
      <c r="E194" s="11" t="s">
        <v>215</v>
      </c>
      <c r="F194" s="56">
        <f t="shared" si="58"/>
        <v>0</v>
      </c>
      <c r="G194" s="14"/>
      <c r="H194" s="14">
        <v>0</v>
      </c>
      <c r="I194" s="14"/>
      <c r="J194" s="14"/>
      <c r="K194" s="14"/>
      <c r="L194" s="14"/>
      <c r="M194" s="14"/>
      <c r="N194" s="14"/>
      <c r="O194" s="14"/>
      <c r="P194" s="57">
        <f t="shared" si="59"/>
        <v>0</v>
      </c>
      <c r="Q194" s="18">
        <f t="shared" si="60"/>
        <v>0</v>
      </c>
    </row>
    <row r="195" spans="1:17" ht="12.75" hidden="1" outlineLevel="3">
      <c r="A195" s="64"/>
      <c r="B195" s="112" t="s">
        <v>331</v>
      </c>
      <c r="C195" s="55" t="s">
        <v>56</v>
      </c>
      <c r="D195" s="63" t="s">
        <v>61</v>
      </c>
      <c r="E195" s="11" t="s">
        <v>215</v>
      </c>
      <c r="F195" s="56">
        <f t="shared" si="58"/>
        <v>30.4</v>
      </c>
      <c r="G195" s="14"/>
      <c r="H195" s="14">
        <v>30.4</v>
      </c>
      <c r="I195" s="14"/>
      <c r="J195" s="14"/>
      <c r="K195" s="14"/>
      <c r="L195" s="14"/>
      <c r="M195" s="14"/>
      <c r="N195" s="14"/>
      <c r="O195" s="14"/>
      <c r="P195" s="57">
        <f t="shared" si="59"/>
        <v>0</v>
      </c>
      <c r="Q195" s="18">
        <f t="shared" si="60"/>
        <v>0</v>
      </c>
    </row>
    <row r="196" spans="1:17" ht="12.75" hidden="1" outlineLevel="3">
      <c r="A196" s="64"/>
      <c r="B196" s="112"/>
      <c r="C196" s="55"/>
      <c r="D196" s="63"/>
      <c r="E196" s="11"/>
      <c r="F196" s="56">
        <f t="shared" si="58"/>
        <v>0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57">
        <f t="shared" si="59"/>
        <v>0</v>
      </c>
      <c r="Q196" s="18">
        <f t="shared" si="60"/>
        <v>0</v>
      </c>
    </row>
    <row r="197" spans="1:17" ht="12.75" hidden="1" outlineLevel="3">
      <c r="A197" s="64" t="s">
        <v>217</v>
      </c>
      <c r="B197" s="112" t="s">
        <v>218</v>
      </c>
      <c r="C197" s="55" t="s">
        <v>56</v>
      </c>
      <c r="D197" s="63" t="s">
        <v>61</v>
      </c>
      <c r="E197" s="11" t="s">
        <v>215</v>
      </c>
      <c r="F197" s="56">
        <f t="shared" si="58"/>
        <v>19.9</v>
      </c>
      <c r="G197" s="14">
        <v>19.9</v>
      </c>
      <c r="H197" s="14"/>
      <c r="I197" s="14"/>
      <c r="J197" s="14"/>
      <c r="K197" s="14"/>
      <c r="L197" s="14"/>
      <c r="M197" s="14"/>
      <c r="N197" s="14"/>
      <c r="O197" s="14"/>
      <c r="P197" s="57">
        <f t="shared" si="59"/>
        <v>0</v>
      </c>
      <c r="Q197" s="18">
        <f t="shared" si="60"/>
        <v>0</v>
      </c>
    </row>
    <row r="198" spans="1:17" ht="12.75" hidden="1" outlineLevel="3">
      <c r="A198" s="74"/>
      <c r="B198" s="112" t="s">
        <v>308</v>
      </c>
      <c r="C198" s="55" t="s">
        <v>56</v>
      </c>
      <c r="D198" s="63" t="s">
        <v>61</v>
      </c>
      <c r="E198" s="11" t="s">
        <v>215</v>
      </c>
      <c r="F198" s="56">
        <f t="shared" si="58"/>
        <v>114</v>
      </c>
      <c r="G198" s="14">
        <v>114</v>
      </c>
      <c r="H198" s="14"/>
      <c r="I198" s="14"/>
      <c r="J198" s="14"/>
      <c r="K198" s="14"/>
      <c r="L198" s="14"/>
      <c r="M198" s="14"/>
      <c r="N198" s="14"/>
      <c r="O198" s="14"/>
      <c r="P198" s="57">
        <f t="shared" si="59"/>
        <v>0</v>
      </c>
      <c r="Q198" s="18">
        <f t="shared" si="60"/>
        <v>0</v>
      </c>
    </row>
    <row r="199" spans="1:17" ht="36.75" customHeight="1" outlineLevel="3">
      <c r="A199" s="123" t="s">
        <v>291</v>
      </c>
      <c r="B199" s="127" t="s">
        <v>98</v>
      </c>
      <c r="C199" s="55" t="s">
        <v>56</v>
      </c>
      <c r="D199" s="63" t="s">
        <v>61</v>
      </c>
      <c r="E199" s="11" t="s">
        <v>244</v>
      </c>
      <c r="F199" s="56">
        <f t="shared" si="58"/>
        <v>11945.899999999998</v>
      </c>
      <c r="G199" s="14">
        <f aca="true" t="shared" si="61" ref="G199:O199">G200</f>
        <v>1332.6</v>
      </c>
      <c r="H199" s="14">
        <f t="shared" si="61"/>
        <v>1396.9</v>
      </c>
      <c r="I199" s="14">
        <f t="shared" si="61"/>
        <v>1396.9</v>
      </c>
      <c r="J199" s="14">
        <f t="shared" si="61"/>
        <v>1396.9</v>
      </c>
      <c r="K199" s="14">
        <f t="shared" si="61"/>
        <v>1231.9</v>
      </c>
      <c r="L199" s="14">
        <f t="shared" si="61"/>
        <v>1000</v>
      </c>
      <c r="M199" s="14">
        <f t="shared" si="61"/>
        <v>1396.9</v>
      </c>
      <c r="N199" s="14">
        <f t="shared" si="61"/>
        <v>1396.9</v>
      </c>
      <c r="O199" s="14">
        <f t="shared" si="61"/>
        <v>1396.9</v>
      </c>
      <c r="P199" s="57">
        <f t="shared" si="59"/>
        <v>-4190.699999999997</v>
      </c>
      <c r="Q199" s="18">
        <f t="shared" si="60"/>
        <v>0</v>
      </c>
    </row>
    <row r="200" spans="1:17" ht="34.5" customHeight="1" outlineLevel="3">
      <c r="A200" s="124"/>
      <c r="B200" s="128"/>
      <c r="C200" s="55" t="s">
        <v>56</v>
      </c>
      <c r="D200" s="63" t="s">
        <v>61</v>
      </c>
      <c r="E200" s="11" t="s">
        <v>225</v>
      </c>
      <c r="F200" s="56">
        <f t="shared" si="58"/>
        <v>11945.899999999998</v>
      </c>
      <c r="G200" s="14">
        <f aca="true" t="shared" si="62" ref="G200:O200">G201+G202</f>
        <v>1332.6</v>
      </c>
      <c r="H200" s="14">
        <f t="shared" si="62"/>
        <v>1396.9</v>
      </c>
      <c r="I200" s="14">
        <f t="shared" si="62"/>
        <v>1396.9</v>
      </c>
      <c r="J200" s="14">
        <f t="shared" si="62"/>
        <v>1396.9</v>
      </c>
      <c r="K200" s="14">
        <f t="shared" si="62"/>
        <v>1231.9</v>
      </c>
      <c r="L200" s="14">
        <f t="shared" si="62"/>
        <v>1000</v>
      </c>
      <c r="M200" s="14">
        <f t="shared" si="62"/>
        <v>1396.9</v>
      </c>
      <c r="N200" s="14">
        <f t="shared" si="62"/>
        <v>1396.9</v>
      </c>
      <c r="O200" s="14">
        <f t="shared" si="62"/>
        <v>1396.9</v>
      </c>
      <c r="P200" s="57">
        <f t="shared" si="59"/>
        <v>-4190.699999999997</v>
      </c>
      <c r="Q200" s="18">
        <f t="shared" si="60"/>
        <v>0</v>
      </c>
    </row>
    <row r="201" spans="1:17" ht="21" customHeight="1" outlineLevel="3">
      <c r="A201" s="123" t="s">
        <v>399</v>
      </c>
      <c r="B201" s="127" t="s">
        <v>13</v>
      </c>
      <c r="C201" s="136" t="s">
        <v>56</v>
      </c>
      <c r="D201" s="136" t="s">
        <v>61</v>
      </c>
      <c r="E201" s="11" t="s">
        <v>238</v>
      </c>
      <c r="F201" s="56">
        <f t="shared" si="58"/>
        <v>11663</v>
      </c>
      <c r="G201" s="14">
        <v>1049.7</v>
      </c>
      <c r="H201" s="14">
        <v>1396.9</v>
      </c>
      <c r="I201" s="14">
        <v>1396.9</v>
      </c>
      <c r="J201" s="14">
        <v>1396.9</v>
      </c>
      <c r="K201" s="14">
        <f>1396.9-165</f>
        <v>1231.9</v>
      </c>
      <c r="L201" s="14">
        <v>1000</v>
      </c>
      <c r="M201" s="14">
        <v>1396.9</v>
      </c>
      <c r="N201" s="14">
        <v>1396.9</v>
      </c>
      <c r="O201" s="14">
        <v>1396.9</v>
      </c>
      <c r="P201" s="57">
        <f t="shared" si="59"/>
        <v>-4190.7</v>
      </c>
      <c r="Q201" s="18">
        <f t="shared" si="60"/>
        <v>0</v>
      </c>
    </row>
    <row r="202" spans="1:17" ht="22.5" customHeight="1" outlineLevel="3">
      <c r="A202" s="124"/>
      <c r="B202" s="128"/>
      <c r="C202" s="140"/>
      <c r="D202" s="140"/>
      <c r="E202" s="11" t="s">
        <v>239</v>
      </c>
      <c r="F202" s="56">
        <f t="shared" si="58"/>
        <v>282.9</v>
      </c>
      <c r="G202" s="14">
        <v>282.9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57">
        <f t="shared" si="59"/>
        <v>0</v>
      </c>
      <c r="Q202" s="18">
        <f t="shared" si="60"/>
        <v>0</v>
      </c>
    </row>
    <row r="203" spans="1:18" s="9" customFormat="1" ht="34.5" customHeight="1" outlineLevel="3">
      <c r="A203" s="123" t="s">
        <v>315</v>
      </c>
      <c r="B203" s="127" t="s">
        <v>624</v>
      </c>
      <c r="C203" s="55" t="s">
        <v>56</v>
      </c>
      <c r="D203" s="63" t="s">
        <v>61</v>
      </c>
      <c r="E203" s="11" t="s">
        <v>244</v>
      </c>
      <c r="F203" s="56">
        <f t="shared" si="58"/>
        <v>4958.5</v>
      </c>
      <c r="G203" s="14">
        <f aca="true" t="shared" si="63" ref="G203:O203">G204</f>
        <v>2747.8</v>
      </c>
      <c r="H203" s="14">
        <f t="shared" si="63"/>
        <v>1001.6</v>
      </c>
      <c r="I203" s="14">
        <f t="shared" si="63"/>
        <v>1173.7</v>
      </c>
      <c r="J203" s="14">
        <f t="shared" si="63"/>
        <v>35.4</v>
      </c>
      <c r="K203" s="14">
        <f t="shared" si="63"/>
        <v>0</v>
      </c>
      <c r="L203" s="14">
        <f t="shared" si="63"/>
        <v>0</v>
      </c>
      <c r="M203" s="14">
        <f t="shared" si="63"/>
        <v>0</v>
      </c>
      <c r="N203" s="14">
        <f t="shared" si="63"/>
        <v>0</v>
      </c>
      <c r="O203" s="14">
        <f t="shared" si="63"/>
        <v>0</v>
      </c>
      <c r="P203" s="57">
        <f t="shared" si="59"/>
        <v>0</v>
      </c>
      <c r="Q203" s="18">
        <f t="shared" si="60"/>
        <v>0</v>
      </c>
      <c r="R203" s="41"/>
    </row>
    <row r="204" spans="1:18" s="9" customFormat="1" ht="29.25" customHeight="1" outlineLevel="3">
      <c r="A204" s="124"/>
      <c r="B204" s="128"/>
      <c r="C204" s="55" t="s">
        <v>56</v>
      </c>
      <c r="D204" s="63" t="s">
        <v>61</v>
      </c>
      <c r="E204" s="11" t="s">
        <v>226</v>
      </c>
      <c r="F204" s="56">
        <f t="shared" si="58"/>
        <v>4958.5</v>
      </c>
      <c r="G204" s="14">
        <f>845.1+1902.7</f>
        <v>2747.8</v>
      </c>
      <c r="H204" s="14">
        <v>1001.6</v>
      </c>
      <c r="I204" s="14">
        <v>1173.7</v>
      </c>
      <c r="J204" s="14">
        <v>35.4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57">
        <f t="shared" si="59"/>
        <v>0</v>
      </c>
      <c r="Q204" s="18">
        <f t="shared" si="60"/>
        <v>0</v>
      </c>
      <c r="R204" s="41"/>
    </row>
    <row r="205" spans="1:18" s="9" customFormat="1" ht="30.75" customHeight="1" outlineLevel="3">
      <c r="A205" s="123" t="s">
        <v>292</v>
      </c>
      <c r="B205" s="127" t="s">
        <v>625</v>
      </c>
      <c r="C205" s="55" t="s">
        <v>56</v>
      </c>
      <c r="D205" s="63" t="s">
        <v>61</v>
      </c>
      <c r="E205" s="11" t="s">
        <v>244</v>
      </c>
      <c r="F205" s="56">
        <f t="shared" si="58"/>
        <v>71.4</v>
      </c>
      <c r="G205" s="14">
        <f aca="true" t="shared" si="64" ref="G205:O219">G206</f>
        <v>0</v>
      </c>
      <c r="H205" s="14">
        <f t="shared" si="64"/>
        <v>0</v>
      </c>
      <c r="I205" s="14">
        <f t="shared" si="64"/>
        <v>30</v>
      </c>
      <c r="J205" s="14">
        <f t="shared" si="64"/>
        <v>41.4</v>
      </c>
      <c r="K205" s="14">
        <f t="shared" si="64"/>
        <v>0</v>
      </c>
      <c r="L205" s="14">
        <f t="shared" si="64"/>
        <v>0</v>
      </c>
      <c r="M205" s="14">
        <f t="shared" si="64"/>
        <v>0</v>
      </c>
      <c r="N205" s="14">
        <f t="shared" si="64"/>
        <v>0</v>
      </c>
      <c r="O205" s="14">
        <f t="shared" si="64"/>
        <v>0</v>
      </c>
      <c r="P205" s="57">
        <f t="shared" si="59"/>
        <v>0</v>
      </c>
      <c r="Q205" s="18">
        <f t="shared" si="60"/>
        <v>0</v>
      </c>
      <c r="R205" s="41"/>
    </row>
    <row r="206" spans="1:18" s="9" customFormat="1" ht="29.25" customHeight="1" outlineLevel="3">
      <c r="A206" s="124"/>
      <c r="B206" s="128"/>
      <c r="C206" s="55" t="s">
        <v>56</v>
      </c>
      <c r="D206" s="63" t="s">
        <v>61</v>
      </c>
      <c r="E206" s="11" t="s">
        <v>226</v>
      </c>
      <c r="F206" s="56">
        <f t="shared" si="58"/>
        <v>71.4</v>
      </c>
      <c r="G206" s="14">
        <v>0</v>
      </c>
      <c r="H206" s="14">
        <v>0</v>
      </c>
      <c r="I206" s="14">
        <v>30</v>
      </c>
      <c r="J206" s="14">
        <v>41.4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57">
        <f t="shared" si="59"/>
        <v>0</v>
      </c>
      <c r="Q206" s="18">
        <f t="shared" si="60"/>
        <v>0</v>
      </c>
      <c r="R206" s="41"/>
    </row>
    <row r="207" spans="1:18" s="9" customFormat="1" ht="30.75" customHeight="1" outlineLevel="3">
      <c r="A207" s="123" t="s">
        <v>364</v>
      </c>
      <c r="B207" s="127" t="s">
        <v>503</v>
      </c>
      <c r="C207" s="55" t="s">
        <v>56</v>
      </c>
      <c r="D207" s="63" t="s">
        <v>61</v>
      </c>
      <c r="E207" s="11" t="s">
        <v>244</v>
      </c>
      <c r="F207" s="56">
        <f t="shared" si="58"/>
        <v>71.3</v>
      </c>
      <c r="G207" s="14">
        <f t="shared" si="64"/>
        <v>0</v>
      </c>
      <c r="H207" s="14">
        <f t="shared" si="64"/>
        <v>0</v>
      </c>
      <c r="I207" s="14">
        <f t="shared" si="64"/>
        <v>30</v>
      </c>
      <c r="J207" s="14">
        <f t="shared" si="64"/>
        <v>41.3</v>
      </c>
      <c r="K207" s="14">
        <f t="shared" si="64"/>
        <v>0</v>
      </c>
      <c r="L207" s="14">
        <f t="shared" si="64"/>
        <v>0</v>
      </c>
      <c r="M207" s="14">
        <f t="shared" si="64"/>
        <v>0</v>
      </c>
      <c r="N207" s="14">
        <f t="shared" si="64"/>
        <v>0</v>
      </c>
      <c r="O207" s="14">
        <f t="shared" si="64"/>
        <v>0</v>
      </c>
      <c r="P207" s="57">
        <f t="shared" si="59"/>
        <v>0</v>
      </c>
      <c r="Q207" s="18">
        <f t="shared" si="60"/>
        <v>0</v>
      </c>
      <c r="R207" s="41"/>
    </row>
    <row r="208" spans="1:18" s="9" customFormat="1" ht="21" customHeight="1" outlineLevel="3">
      <c r="A208" s="124"/>
      <c r="B208" s="128"/>
      <c r="C208" s="55" t="s">
        <v>56</v>
      </c>
      <c r="D208" s="63" t="s">
        <v>61</v>
      </c>
      <c r="E208" s="11" t="s">
        <v>226</v>
      </c>
      <c r="F208" s="56">
        <f t="shared" si="58"/>
        <v>71.3</v>
      </c>
      <c r="G208" s="14">
        <v>0</v>
      </c>
      <c r="H208" s="14">
        <v>0</v>
      </c>
      <c r="I208" s="14">
        <v>30</v>
      </c>
      <c r="J208" s="14">
        <v>41.3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57">
        <f t="shared" si="59"/>
        <v>0</v>
      </c>
      <c r="Q208" s="18">
        <f t="shared" si="60"/>
        <v>0</v>
      </c>
      <c r="R208" s="41"/>
    </row>
    <row r="209" spans="1:18" s="9" customFormat="1" ht="30.75" customHeight="1" outlineLevel="3">
      <c r="A209" s="123" t="s">
        <v>447</v>
      </c>
      <c r="B209" s="125" t="s">
        <v>589</v>
      </c>
      <c r="C209" s="55" t="s">
        <v>56</v>
      </c>
      <c r="D209" s="63" t="s">
        <v>61</v>
      </c>
      <c r="E209" s="11" t="s">
        <v>244</v>
      </c>
      <c r="F209" s="56">
        <f t="shared" si="58"/>
        <v>846</v>
      </c>
      <c r="G209" s="14">
        <f t="shared" si="64"/>
        <v>0</v>
      </c>
      <c r="H209" s="14">
        <f t="shared" si="64"/>
        <v>0</v>
      </c>
      <c r="I209" s="14">
        <f t="shared" si="64"/>
        <v>26</v>
      </c>
      <c r="J209" s="14">
        <f t="shared" si="64"/>
        <v>30</v>
      </c>
      <c r="K209" s="14">
        <f t="shared" si="64"/>
        <v>0</v>
      </c>
      <c r="L209" s="14">
        <f t="shared" si="64"/>
        <v>790</v>
      </c>
      <c r="M209" s="14">
        <f t="shared" si="64"/>
        <v>0</v>
      </c>
      <c r="N209" s="14">
        <f t="shared" si="64"/>
        <v>0</v>
      </c>
      <c r="O209" s="14">
        <f t="shared" si="64"/>
        <v>0</v>
      </c>
      <c r="P209" s="57">
        <f t="shared" si="59"/>
        <v>0</v>
      </c>
      <c r="Q209" s="18">
        <f t="shared" si="60"/>
        <v>0</v>
      </c>
      <c r="R209" s="41"/>
    </row>
    <row r="210" spans="1:18" s="9" customFormat="1" ht="24.75" customHeight="1" outlineLevel="3">
      <c r="A210" s="124"/>
      <c r="B210" s="126"/>
      <c r="C210" s="55" t="s">
        <v>56</v>
      </c>
      <c r="D210" s="63" t="s">
        <v>61</v>
      </c>
      <c r="E210" s="11" t="s">
        <v>226</v>
      </c>
      <c r="F210" s="56">
        <f t="shared" si="58"/>
        <v>846</v>
      </c>
      <c r="G210" s="14">
        <v>0</v>
      </c>
      <c r="H210" s="14">
        <v>0</v>
      </c>
      <c r="I210" s="14">
        <v>26</v>
      </c>
      <c r="J210" s="14">
        <v>30</v>
      </c>
      <c r="K210" s="14">
        <v>0</v>
      </c>
      <c r="L210" s="14">
        <v>790</v>
      </c>
      <c r="M210" s="14">
        <v>0</v>
      </c>
      <c r="N210" s="14">
        <v>0</v>
      </c>
      <c r="O210" s="14">
        <v>0</v>
      </c>
      <c r="P210" s="57">
        <f t="shared" si="59"/>
        <v>0</v>
      </c>
      <c r="Q210" s="18">
        <f t="shared" si="60"/>
        <v>0</v>
      </c>
      <c r="R210" s="41"/>
    </row>
    <row r="211" spans="1:18" s="9" customFormat="1" ht="35.25" customHeight="1" outlineLevel="3">
      <c r="A211" s="123" t="s">
        <v>365</v>
      </c>
      <c r="B211" s="125" t="s">
        <v>502</v>
      </c>
      <c r="C211" s="55" t="s">
        <v>56</v>
      </c>
      <c r="D211" s="63" t="s">
        <v>61</v>
      </c>
      <c r="E211" s="11" t="s">
        <v>244</v>
      </c>
      <c r="F211" s="56">
        <f t="shared" si="58"/>
        <v>30</v>
      </c>
      <c r="G211" s="14">
        <f t="shared" si="64"/>
        <v>0</v>
      </c>
      <c r="H211" s="14">
        <f t="shared" si="64"/>
        <v>0</v>
      </c>
      <c r="I211" s="14">
        <f t="shared" si="64"/>
        <v>0</v>
      </c>
      <c r="J211" s="14">
        <f t="shared" si="64"/>
        <v>30</v>
      </c>
      <c r="K211" s="14">
        <f t="shared" si="64"/>
        <v>0</v>
      </c>
      <c r="L211" s="14">
        <f t="shared" si="64"/>
        <v>0</v>
      </c>
      <c r="M211" s="14">
        <f t="shared" si="64"/>
        <v>0</v>
      </c>
      <c r="N211" s="14">
        <f t="shared" si="64"/>
        <v>0</v>
      </c>
      <c r="O211" s="14">
        <f t="shared" si="64"/>
        <v>0</v>
      </c>
      <c r="P211" s="57">
        <f t="shared" si="59"/>
        <v>0</v>
      </c>
      <c r="Q211" s="18">
        <f t="shared" si="60"/>
        <v>0</v>
      </c>
      <c r="R211" s="41"/>
    </row>
    <row r="212" spans="1:18" s="9" customFormat="1" ht="24.75" customHeight="1" outlineLevel="3">
      <c r="A212" s="124"/>
      <c r="B212" s="126"/>
      <c r="C212" s="55" t="s">
        <v>56</v>
      </c>
      <c r="D212" s="63" t="s">
        <v>61</v>
      </c>
      <c r="E212" s="11" t="s">
        <v>226</v>
      </c>
      <c r="F212" s="56">
        <f t="shared" si="58"/>
        <v>30</v>
      </c>
      <c r="G212" s="14">
        <v>0</v>
      </c>
      <c r="H212" s="14">
        <v>0</v>
      </c>
      <c r="I212" s="14">
        <v>0</v>
      </c>
      <c r="J212" s="14">
        <v>30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57">
        <f t="shared" si="59"/>
        <v>0</v>
      </c>
      <c r="Q212" s="18">
        <f t="shared" si="60"/>
        <v>0</v>
      </c>
      <c r="R212" s="41"/>
    </row>
    <row r="213" spans="1:18" s="9" customFormat="1" ht="32.25" customHeight="1" outlineLevel="3">
      <c r="A213" s="123" t="s">
        <v>367</v>
      </c>
      <c r="B213" s="125" t="s">
        <v>501</v>
      </c>
      <c r="C213" s="55" t="s">
        <v>56</v>
      </c>
      <c r="D213" s="63" t="s">
        <v>61</v>
      </c>
      <c r="E213" s="11" t="s">
        <v>244</v>
      </c>
      <c r="F213" s="56">
        <f t="shared" si="58"/>
        <v>30</v>
      </c>
      <c r="G213" s="14">
        <f t="shared" si="64"/>
        <v>0</v>
      </c>
      <c r="H213" s="14">
        <f t="shared" si="64"/>
        <v>0</v>
      </c>
      <c r="I213" s="14">
        <f t="shared" si="64"/>
        <v>0</v>
      </c>
      <c r="J213" s="14">
        <f t="shared" si="64"/>
        <v>30</v>
      </c>
      <c r="K213" s="14">
        <f t="shared" si="64"/>
        <v>0</v>
      </c>
      <c r="L213" s="14">
        <f t="shared" si="64"/>
        <v>0</v>
      </c>
      <c r="M213" s="14">
        <f t="shared" si="64"/>
        <v>0</v>
      </c>
      <c r="N213" s="14">
        <f t="shared" si="64"/>
        <v>0</v>
      </c>
      <c r="O213" s="14">
        <f t="shared" si="64"/>
        <v>0</v>
      </c>
      <c r="P213" s="57">
        <f t="shared" si="59"/>
        <v>0</v>
      </c>
      <c r="Q213" s="18">
        <f t="shared" si="60"/>
        <v>0</v>
      </c>
      <c r="R213" s="41"/>
    </row>
    <row r="214" spans="1:18" s="9" customFormat="1" ht="24.75" customHeight="1" outlineLevel="3">
      <c r="A214" s="124"/>
      <c r="B214" s="126"/>
      <c r="C214" s="55" t="s">
        <v>56</v>
      </c>
      <c r="D214" s="63" t="s">
        <v>61</v>
      </c>
      <c r="E214" s="11" t="s">
        <v>226</v>
      </c>
      <c r="F214" s="56">
        <f t="shared" si="58"/>
        <v>30</v>
      </c>
      <c r="G214" s="14">
        <v>0</v>
      </c>
      <c r="H214" s="14">
        <v>0</v>
      </c>
      <c r="I214" s="14">
        <v>0</v>
      </c>
      <c r="J214" s="14">
        <v>30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57">
        <f t="shared" si="59"/>
        <v>0</v>
      </c>
      <c r="Q214" s="18">
        <f t="shared" si="60"/>
        <v>0</v>
      </c>
      <c r="R214" s="41"/>
    </row>
    <row r="215" spans="1:18" s="9" customFormat="1" ht="35.25" customHeight="1" outlineLevel="3">
      <c r="A215" s="123" t="s">
        <v>515</v>
      </c>
      <c r="B215" s="125" t="s">
        <v>626</v>
      </c>
      <c r="C215" s="55" t="s">
        <v>56</v>
      </c>
      <c r="D215" s="63" t="s">
        <v>61</v>
      </c>
      <c r="E215" s="11" t="s">
        <v>244</v>
      </c>
      <c r="F215" s="56">
        <f t="shared" si="58"/>
        <v>30</v>
      </c>
      <c r="G215" s="14">
        <f t="shared" si="64"/>
        <v>0</v>
      </c>
      <c r="H215" s="14">
        <f t="shared" si="64"/>
        <v>0</v>
      </c>
      <c r="I215" s="14">
        <f t="shared" si="64"/>
        <v>0</v>
      </c>
      <c r="J215" s="14">
        <f t="shared" si="64"/>
        <v>30</v>
      </c>
      <c r="K215" s="14">
        <f t="shared" si="64"/>
        <v>0</v>
      </c>
      <c r="L215" s="14">
        <f t="shared" si="64"/>
        <v>0</v>
      </c>
      <c r="M215" s="14">
        <f t="shared" si="64"/>
        <v>0</v>
      </c>
      <c r="N215" s="14">
        <f t="shared" si="64"/>
        <v>0</v>
      </c>
      <c r="O215" s="14">
        <f t="shared" si="64"/>
        <v>0</v>
      </c>
      <c r="P215" s="57">
        <f t="shared" si="59"/>
        <v>0</v>
      </c>
      <c r="Q215" s="18">
        <f t="shared" si="60"/>
        <v>0</v>
      </c>
      <c r="R215" s="41"/>
    </row>
    <row r="216" spans="1:18" s="9" customFormat="1" ht="24.75" customHeight="1" outlineLevel="3">
      <c r="A216" s="124"/>
      <c r="B216" s="126"/>
      <c r="C216" s="55" t="s">
        <v>56</v>
      </c>
      <c r="D216" s="63" t="s">
        <v>61</v>
      </c>
      <c r="E216" s="11" t="s">
        <v>226</v>
      </c>
      <c r="F216" s="56">
        <f t="shared" si="58"/>
        <v>30</v>
      </c>
      <c r="G216" s="14">
        <v>0</v>
      </c>
      <c r="H216" s="14">
        <v>0</v>
      </c>
      <c r="I216" s="14">
        <v>0</v>
      </c>
      <c r="J216" s="14">
        <v>30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57">
        <f t="shared" si="59"/>
        <v>0</v>
      </c>
      <c r="Q216" s="18">
        <f t="shared" si="60"/>
        <v>0</v>
      </c>
      <c r="R216" s="41"/>
    </row>
    <row r="217" spans="1:18" s="9" customFormat="1" ht="39.75" customHeight="1" outlineLevel="3">
      <c r="A217" s="123" t="s">
        <v>564</v>
      </c>
      <c r="B217" s="127" t="s">
        <v>566</v>
      </c>
      <c r="C217" s="55" t="s">
        <v>56</v>
      </c>
      <c r="D217" s="63" t="s">
        <v>61</v>
      </c>
      <c r="E217" s="11" t="s">
        <v>244</v>
      </c>
      <c r="F217" s="56">
        <f t="shared" si="58"/>
        <v>1426.3</v>
      </c>
      <c r="G217" s="14">
        <f t="shared" si="64"/>
        <v>0</v>
      </c>
      <c r="H217" s="14">
        <f t="shared" si="64"/>
        <v>0</v>
      </c>
      <c r="I217" s="14">
        <f t="shared" si="64"/>
        <v>1426.3</v>
      </c>
      <c r="J217" s="14">
        <f t="shared" si="64"/>
        <v>0</v>
      </c>
      <c r="K217" s="14">
        <f t="shared" si="64"/>
        <v>0</v>
      </c>
      <c r="L217" s="14">
        <f t="shared" si="64"/>
        <v>0</v>
      </c>
      <c r="M217" s="14">
        <f t="shared" si="64"/>
        <v>0</v>
      </c>
      <c r="N217" s="14">
        <f t="shared" si="64"/>
        <v>0</v>
      </c>
      <c r="O217" s="14">
        <f t="shared" si="64"/>
        <v>0</v>
      </c>
      <c r="P217" s="57">
        <f t="shared" si="59"/>
        <v>0</v>
      </c>
      <c r="Q217" s="18">
        <f t="shared" si="60"/>
        <v>0</v>
      </c>
      <c r="R217" s="41"/>
    </row>
    <row r="218" spans="1:18" s="9" customFormat="1" ht="67.5" customHeight="1" outlineLevel="3">
      <c r="A218" s="124"/>
      <c r="B218" s="128"/>
      <c r="C218" s="55" t="s">
        <v>56</v>
      </c>
      <c r="D218" s="63" t="s">
        <v>61</v>
      </c>
      <c r="E218" s="11" t="s">
        <v>437</v>
      </c>
      <c r="F218" s="56">
        <f t="shared" si="58"/>
        <v>1426.3</v>
      </c>
      <c r="G218" s="14">
        <v>0</v>
      </c>
      <c r="H218" s="14">
        <v>0</v>
      </c>
      <c r="I218" s="14">
        <v>1426.3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57">
        <f t="shared" si="59"/>
        <v>0</v>
      </c>
      <c r="Q218" s="18">
        <f t="shared" si="60"/>
        <v>0</v>
      </c>
      <c r="R218" s="41"/>
    </row>
    <row r="219" spans="1:18" s="9" customFormat="1" ht="30.75" customHeight="1" outlineLevel="3">
      <c r="A219" s="123" t="s">
        <v>565</v>
      </c>
      <c r="B219" s="127" t="s">
        <v>588</v>
      </c>
      <c r="C219" s="55" t="s">
        <v>56</v>
      </c>
      <c r="D219" s="63" t="s">
        <v>61</v>
      </c>
      <c r="E219" s="11" t="s">
        <v>244</v>
      </c>
      <c r="F219" s="56">
        <f t="shared" si="58"/>
        <v>672</v>
      </c>
      <c r="G219" s="14">
        <f t="shared" si="64"/>
        <v>390</v>
      </c>
      <c r="H219" s="14">
        <f t="shared" si="64"/>
        <v>282</v>
      </c>
      <c r="I219" s="14">
        <f t="shared" si="64"/>
        <v>0</v>
      </c>
      <c r="J219" s="14">
        <f t="shared" si="64"/>
        <v>0</v>
      </c>
      <c r="K219" s="14">
        <f t="shared" si="64"/>
        <v>0</v>
      </c>
      <c r="L219" s="14">
        <f t="shared" si="64"/>
        <v>0</v>
      </c>
      <c r="M219" s="14">
        <f t="shared" si="64"/>
        <v>0</v>
      </c>
      <c r="N219" s="14">
        <f t="shared" si="64"/>
        <v>0</v>
      </c>
      <c r="O219" s="14">
        <f t="shared" si="64"/>
        <v>0</v>
      </c>
      <c r="P219" s="57">
        <f t="shared" si="59"/>
        <v>0</v>
      </c>
      <c r="Q219" s="18">
        <f t="shared" si="60"/>
        <v>0</v>
      </c>
      <c r="R219" s="41"/>
    </row>
    <row r="220" spans="1:18" s="9" customFormat="1" ht="21" customHeight="1" outlineLevel="3">
      <c r="A220" s="124"/>
      <c r="B220" s="128"/>
      <c r="C220" s="55" t="s">
        <v>56</v>
      </c>
      <c r="D220" s="63" t="s">
        <v>61</v>
      </c>
      <c r="E220" s="11" t="s">
        <v>226</v>
      </c>
      <c r="F220" s="56">
        <f t="shared" si="58"/>
        <v>672</v>
      </c>
      <c r="G220" s="14">
        <v>390</v>
      </c>
      <c r="H220" s="14">
        <v>282</v>
      </c>
      <c r="I220" s="14">
        <f>4225.5-4225.5</f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57">
        <f t="shared" si="59"/>
        <v>0</v>
      </c>
      <c r="Q220" s="18">
        <f t="shared" si="60"/>
        <v>0</v>
      </c>
      <c r="R220" s="41"/>
    </row>
    <row r="221" spans="1:18" s="9" customFormat="1" ht="29.25" customHeight="1" outlineLevel="3">
      <c r="A221" s="123" t="s">
        <v>610</v>
      </c>
      <c r="B221" s="127" t="s">
        <v>611</v>
      </c>
      <c r="C221" s="55" t="s">
        <v>56</v>
      </c>
      <c r="D221" s="99" t="s">
        <v>61</v>
      </c>
      <c r="E221" s="101" t="s">
        <v>244</v>
      </c>
      <c r="F221" s="56">
        <f t="shared" si="58"/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f>L222</f>
        <v>0</v>
      </c>
      <c r="M221" s="14">
        <v>0</v>
      </c>
      <c r="N221" s="14">
        <v>0</v>
      </c>
      <c r="O221" s="14">
        <v>0</v>
      </c>
      <c r="P221" s="14">
        <v>0</v>
      </c>
      <c r="Q221" s="18"/>
      <c r="R221" s="41"/>
    </row>
    <row r="222" spans="1:18" s="9" customFormat="1" ht="30.75" customHeight="1" outlineLevel="3">
      <c r="A222" s="124"/>
      <c r="B222" s="128"/>
      <c r="C222" s="55" t="s">
        <v>56</v>
      </c>
      <c r="D222" s="99" t="s">
        <v>61</v>
      </c>
      <c r="E222" s="101" t="s">
        <v>612</v>
      </c>
      <c r="F222" s="56">
        <f t="shared" si="58"/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8"/>
      <c r="R222" s="41"/>
    </row>
    <row r="223" spans="1:17" ht="87" customHeight="1" outlineLevel="3">
      <c r="A223" s="123" t="s">
        <v>568</v>
      </c>
      <c r="B223" s="127" t="s">
        <v>599</v>
      </c>
      <c r="C223" s="55" t="s">
        <v>56</v>
      </c>
      <c r="D223" s="63" t="s">
        <v>432</v>
      </c>
      <c r="E223" s="11" t="s">
        <v>398</v>
      </c>
      <c r="F223" s="56">
        <f t="shared" si="58"/>
        <v>1020.5999999999999</v>
      </c>
      <c r="G223" s="14">
        <f aca="true" t="shared" si="65" ref="G223:O223">G224+G225+G226</f>
        <v>307.3</v>
      </c>
      <c r="H223" s="14">
        <f t="shared" si="65"/>
        <v>713.3</v>
      </c>
      <c r="I223" s="14">
        <f t="shared" si="65"/>
        <v>0</v>
      </c>
      <c r="J223" s="14">
        <f t="shared" si="65"/>
        <v>0</v>
      </c>
      <c r="K223" s="14">
        <f t="shared" si="65"/>
        <v>0</v>
      </c>
      <c r="L223" s="14">
        <f t="shared" si="65"/>
        <v>0</v>
      </c>
      <c r="M223" s="14">
        <f t="shared" si="65"/>
        <v>0</v>
      </c>
      <c r="N223" s="14">
        <f t="shared" si="65"/>
        <v>0</v>
      </c>
      <c r="O223" s="14">
        <f t="shared" si="65"/>
        <v>0</v>
      </c>
      <c r="P223" s="57">
        <f t="shared" si="59"/>
        <v>0</v>
      </c>
      <c r="Q223" s="18">
        <f t="shared" si="60"/>
        <v>0</v>
      </c>
    </row>
    <row r="224" spans="1:17" ht="81" customHeight="1" outlineLevel="3">
      <c r="A224" s="129"/>
      <c r="B224" s="130"/>
      <c r="C224" s="136" t="s">
        <v>56</v>
      </c>
      <c r="D224" s="136" t="s">
        <v>432</v>
      </c>
      <c r="E224" s="101" t="s">
        <v>597</v>
      </c>
      <c r="F224" s="56">
        <f t="shared" si="58"/>
        <v>178.3</v>
      </c>
      <c r="G224" s="14">
        <v>40</v>
      </c>
      <c r="H224" s="14">
        <v>138.3</v>
      </c>
      <c r="I224" s="14">
        <f>210-210</f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57">
        <f t="shared" si="59"/>
        <v>0</v>
      </c>
      <c r="Q224" s="18">
        <f t="shared" si="60"/>
        <v>0</v>
      </c>
    </row>
    <row r="225" spans="1:17" ht="96" customHeight="1" outlineLevel="3">
      <c r="A225" s="129"/>
      <c r="B225" s="130"/>
      <c r="C225" s="137"/>
      <c r="D225" s="137"/>
      <c r="E225" s="11" t="s">
        <v>556</v>
      </c>
      <c r="F225" s="56">
        <f t="shared" si="58"/>
        <v>614.8</v>
      </c>
      <c r="G225" s="14">
        <v>195.1</v>
      </c>
      <c r="H225" s="14">
        <f>288.9+130.8</f>
        <v>419.7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57">
        <f t="shared" si="59"/>
        <v>0</v>
      </c>
      <c r="Q225" s="18">
        <f t="shared" si="60"/>
        <v>0</v>
      </c>
    </row>
    <row r="226" spans="1:17" ht="60" customHeight="1" outlineLevel="3">
      <c r="A226" s="124"/>
      <c r="B226" s="128"/>
      <c r="C226" s="140"/>
      <c r="D226" s="140"/>
      <c r="E226" s="11" t="s">
        <v>557</v>
      </c>
      <c r="F226" s="56">
        <f t="shared" si="58"/>
        <v>227.5</v>
      </c>
      <c r="G226" s="14">
        <v>72.2</v>
      </c>
      <c r="H226" s="14">
        <f>106.8+48.5</f>
        <v>155.3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57">
        <f t="shared" si="59"/>
        <v>0</v>
      </c>
      <c r="Q226" s="18">
        <f t="shared" si="60"/>
        <v>0</v>
      </c>
    </row>
    <row r="227" spans="1:17" ht="59.25" customHeight="1" outlineLevel="3">
      <c r="A227" s="66" t="s">
        <v>569</v>
      </c>
      <c r="B227" s="127" t="s">
        <v>373</v>
      </c>
      <c r="C227" s="55" t="s">
        <v>56</v>
      </c>
      <c r="D227" s="55" t="s">
        <v>468</v>
      </c>
      <c r="E227" s="76" t="s">
        <v>558</v>
      </c>
      <c r="F227" s="56">
        <f t="shared" si="58"/>
        <v>10000</v>
      </c>
      <c r="G227" s="14">
        <f aca="true" t="shared" si="66" ref="G227:O227">G228</f>
        <v>0</v>
      </c>
      <c r="H227" s="14">
        <f t="shared" si="66"/>
        <v>5000</v>
      </c>
      <c r="I227" s="14">
        <f t="shared" si="66"/>
        <v>0</v>
      </c>
      <c r="J227" s="14">
        <f t="shared" si="66"/>
        <v>5000</v>
      </c>
      <c r="K227" s="14">
        <f t="shared" si="66"/>
        <v>0</v>
      </c>
      <c r="L227" s="14">
        <f t="shared" si="66"/>
        <v>0</v>
      </c>
      <c r="M227" s="14">
        <f t="shared" si="66"/>
        <v>0</v>
      </c>
      <c r="N227" s="14">
        <f t="shared" si="66"/>
        <v>0</v>
      </c>
      <c r="O227" s="14">
        <f t="shared" si="66"/>
        <v>0</v>
      </c>
      <c r="P227" s="57">
        <f t="shared" si="59"/>
        <v>0</v>
      </c>
      <c r="Q227" s="18">
        <f t="shared" si="60"/>
        <v>0</v>
      </c>
    </row>
    <row r="228" spans="1:17" ht="30.75" customHeight="1" outlineLevel="3">
      <c r="A228" s="66"/>
      <c r="B228" s="128"/>
      <c r="C228" s="55" t="s">
        <v>56</v>
      </c>
      <c r="D228" s="55" t="s">
        <v>374</v>
      </c>
      <c r="E228" s="11" t="s">
        <v>38</v>
      </c>
      <c r="F228" s="56">
        <f t="shared" si="58"/>
        <v>10000</v>
      </c>
      <c r="G228" s="14">
        <v>0</v>
      </c>
      <c r="H228" s="14">
        <v>5000</v>
      </c>
      <c r="I228" s="14">
        <v>0</v>
      </c>
      <c r="J228" s="14">
        <v>5000</v>
      </c>
      <c r="K228" s="14">
        <v>0</v>
      </c>
      <c r="L228" s="14">
        <v>0</v>
      </c>
      <c r="M228" s="14"/>
      <c r="N228" s="14"/>
      <c r="O228" s="14"/>
      <c r="P228" s="57">
        <f t="shared" si="59"/>
        <v>0</v>
      </c>
      <c r="Q228" s="18">
        <f t="shared" si="60"/>
        <v>0</v>
      </c>
    </row>
    <row r="229" spans="1:17" ht="57" customHeight="1" outlineLevel="3">
      <c r="A229" s="75" t="s">
        <v>401</v>
      </c>
      <c r="B229" s="65" t="s">
        <v>570</v>
      </c>
      <c r="C229" s="55" t="s">
        <v>56</v>
      </c>
      <c r="D229" s="63" t="s">
        <v>281</v>
      </c>
      <c r="E229" s="11" t="s">
        <v>244</v>
      </c>
      <c r="F229" s="56">
        <f t="shared" si="58"/>
        <v>30</v>
      </c>
      <c r="G229" s="14">
        <f aca="true" t="shared" si="67" ref="G229:O229">G230</f>
        <v>30</v>
      </c>
      <c r="H229" s="14">
        <f t="shared" si="67"/>
        <v>0</v>
      </c>
      <c r="I229" s="14">
        <f t="shared" si="67"/>
        <v>0</v>
      </c>
      <c r="J229" s="14">
        <f t="shared" si="67"/>
        <v>0</v>
      </c>
      <c r="K229" s="14">
        <f t="shared" si="67"/>
        <v>0</v>
      </c>
      <c r="L229" s="14">
        <f t="shared" si="67"/>
        <v>0</v>
      </c>
      <c r="M229" s="14">
        <f t="shared" si="67"/>
        <v>0</v>
      </c>
      <c r="N229" s="14">
        <f t="shared" si="67"/>
        <v>0</v>
      </c>
      <c r="O229" s="14">
        <f t="shared" si="67"/>
        <v>0</v>
      </c>
      <c r="P229" s="57">
        <f t="shared" si="59"/>
        <v>0</v>
      </c>
      <c r="Q229" s="18">
        <f t="shared" si="60"/>
        <v>0</v>
      </c>
    </row>
    <row r="230" spans="1:17" ht="57.75" customHeight="1" outlineLevel="3">
      <c r="A230" s="69"/>
      <c r="B230" s="59"/>
      <c r="C230" s="55" t="s">
        <v>56</v>
      </c>
      <c r="D230" s="63" t="s">
        <v>281</v>
      </c>
      <c r="E230" s="11" t="s">
        <v>559</v>
      </c>
      <c r="F230" s="56">
        <f t="shared" si="58"/>
        <v>30</v>
      </c>
      <c r="G230" s="14">
        <f aca="true" t="shared" si="68" ref="G230:O230">G231+G232</f>
        <v>30</v>
      </c>
      <c r="H230" s="14">
        <f t="shared" si="68"/>
        <v>0</v>
      </c>
      <c r="I230" s="14">
        <f t="shared" si="68"/>
        <v>0</v>
      </c>
      <c r="J230" s="14">
        <f t="shared" si="68"/>
        <v>0</v>
      </c>
      <c r="K230" s="14">
        <f t="shared" si="68"/>
        <v>0</v>
      </c>
      <c r="L230" s="14">
        <f t="shared" si="68"/>
        <v>0</v>
      </c>
      <c r="M230" s="14">
        <f t="shared" si="68"/>
        <v>0</v>
      </c>
      <c r="N230" s="14">
        <f t="shared" si="68"/>
        <v>0</v>
      </c>
      <c r="O230" s="14">
        <f t="shared" si="68"/>
        <v>0</v>
      </c>
      <c r="P230" s="57">
        <f t="shared" si="59"/>
        <v>0</v>
      </c>
      <c r="Q230" s="18">
        <f t="shared" si="60"/>
        <v>0</v>
      </c>
    </row>
    <row r="231" spans="1:17" ht="32.25" customHeight="1" outlineLevel="3">
      <c r="A231" s="69"/>
      <c r="B231" s="59"/>
      <c r="C231" s="136" t="s">
        <v>56</v>
      </c>
      <c r="D231" s="136" t="s">
        <v>281</v>
      </c>
      <c r="E231" s="11" t="s">
        <v>282</v>
      </c>
      <c r="F231" s="56">
        <f t="shared" si="58"/>
        <v>21.9</v>
      </c>
      <c r="G231" s="14">
        <v>21.9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57">
        <f t="shared" si="59"/>
        <v>0</v>
      </c>
      <c r="Q231" s="18">
        <f t="shared" si="60"/>
        <v>0</v>
      </c>
    </row>
    <row r="232" spans="1:17" ht="19.5" customHeight="1" outlineLevel="3">
      <c r="A232" s="68"/>
      <c r="B232" s="61"/>
      <c r="C232" s="140"/>
      <c r="D232" s="140"/>
      <c r="E232" s="11" t="s">
        <v>38</v>
      </c>
      <c r="F232" s="56">
        <f t="shared" si="58"/>
        <v>8.1</v>
      </c>
      <c r="G232" s="14">
        <v>8.1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57">
        <f t="shared" si="59"/>
        <v>0</v>
      </c>
      <c r="Q232" s="18">
        <f t="shared" si="60"/>
        <v>0</v>
      </c>
    </row>
    <row r="233" spans="1:17" ht="36.75" customHeight="1" hidden="1" outlineLevel="3">
      <c r="A233" s="123" t="s">
        <v>99</v>
      </c>
      <c r="B233" s="127" t="s">
        <v>100</v>
      </c>
      <c r="C233" s="55" t="s">
        <v>56</v>
      </c>
      <c r="D233" s="63" t="s">
        <v>61</v>
      </c>
      <c r="E233" s="11" t="s">
        <v>244</v>
      </c>
      <c r="F233" s="56">
        <f t="shared" si="58"/>
        <v>3780</v>
      </c>
      <c r="G233" s="14">
        <f aca="true" t="shared" si="69" ref="G233:L234">G234</f>
        <v>630</v>
      </c>
      <c r="H233" s="14">
        <f t="shared" si="69"/>
        <v>630</v>
      </c>
      <c r="I233" s="14">
        <f t="shared" si="69"/>
        <v>630</v>
      </c>
      <c r="J233" s="14">
        <f t="shared" si="69"/>
        <v>630</v>
      </c>
      <c r="K233" s="14">
        <f t="shared" si="69"/>
        <v>630</v>
      </c>
      <c r="L233" s="14">
        <f t="shared" si="69"/>
        <v>630</v>
      </c>
      <c r="M233" s="14"/>
      <c r="N233" s="14"/>
      <c r="O233" s="14"/>
      <c r="P233" s="57">
        <f t="shared" si="59"/>
        <v>0</v>
      </c>
      <c r="Q233" s="18">
        <f t="shared" si="60"/>
        <v>0</v>
      </c>
    </row>
    <row r="234" spans="1:17" ht="34.5" customHeight="1" hidden="1" outlineLevel="3">
      <c r="A234" s="124"/>
      <c r="B234" s="128"/>
      <c r="C234" s="55" t="s">
        <v>56</v>
      </c>
      <c r="D234" s="63" t="s">
        <v>61</v>
      </c>
      <c r="E234" s="11" t="s">
        <v>225</v>
      </c>
      <c r="F234" s="56">
        <f t="shared" si="58"/>
        <v>3780</v>
      </c>
      <c r="G234" s="14">
        <f t="shared" si="69"/>
        <v>630</v>
      </c>
      <c r="H234" s="14">
        <f t="shared" si="69"/>
        <v>630</v>
      </c>
      <c r="I234" s="14">
        <f t="shared" si="69"/>
        <v>630</v>
      </c>
      <c r="J234" s="14">
        <f t="shared" si="69"/>
        <v>630</v>
      </c>
      <c r="K234" s="14">
        <f t="shared" si="69"/>
        <v>630</v>
      </c>
      <c r="L234" s="14">
        <f t="shared" si="69"/>
        <v>630</v>
      </c>
      <c r="M234" s="14"/>
      <c r="N234" s="14"/>
      <c r="O234" s="14"/>
      <c r="P234" s="57">
        <f t="shared" si="59"/>
        <v>0</v>
      </c>
      <c r="Q234" s="18">
        <f t="shared" si="60"/>
        <v>0</v>
      </c>
    </row>
    <row r="235" spans="1:18" s="9" customFormat="1" ht="21" customHeight="1" hidden="1" outlineLevel="3">
      <c r="A235" s="72" t="s">
        <v>101</v>
      </c>
      <c r="B235" s="111" t="s">
        <v>100</v>
      </c>
      <c r="C235" s="55" t="s">
        <v>56</v>
      </c>
      <c r="D235" s="63" t="s">
        <v>61</v>
      </c>
      <c r="E235" s="11" t="s">
        <v>5</v>
      </c>
      <c r="F235" s="56">
        <f t="shared" si="58"/>
        <v>3780</v>
      </c>
      <c r="G235" s="14">
        <v>630</v>
      </c>
      <c r="H235" s="14">
        <v>630</v>
      </c>
      <c r="I235" s="14">
        <v>630</v>
      </c>
      <c r="J235" s="14">
        <v>630</v>
      </c>
      <c r="K235" s="14">
        <v>630</v>
      </c>
      <c r="L235" s="14">
        <v>630</v>
      </c>
      <c r="M235" s="14"/>
      <c r="N235" s="14"/>
      <c r="O235" s="14"/>
      <c r="P235" s="57">
        <f t="shared" si="59"/>
        <v>0</v>
      </c>
      <c r="Q235" s="18">
        <f t="shared" si="60"/>
        <v>0</v>
      </c>
      <c r="R235" s="41"/>
    </row>
    <row r="236" spans="1:18" s="9" customFormat="1" ht="21" customHeight="1" hidden="1" outlineLevel="3">
      <c r="A236" s="72"/>
      <c r="B236" s="111"/>
      <c r="C236" s="55"/>
      <c r="D236" s="63"/>
      <c r="E236" s="11"/>
      <c r="F236" s="56">
        <f aca="true" t="shared" si="70" ref="F236:F306">G236+H236+I236+J236+K236+L236+M236+N236+O236</f>
        <v>0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57">
        <f aca="true" t="shared" si="71" ref="P236:P306">L236+K236+J236+I236+H236+G236-F236</f>
        <v>0</v>
      </c>
      <c r="Q236" s="18">
        <f t="shared" si="60"/>
        <v>0</v>
      </c>
      <c r="R236" s="41"/>
    </row>
    <row r="237" spans="1:18" s="9" customFormat="1" ht="47.25" customHeight="1" outlineLevel="3">
      <c r="A237" s="123" t="s">
        <v>414</v>
      </c>
      <c r="B237" s="127" t="s">
        <v>193</v>
      </c>
      <c r="C237" s="55" t="s">
        <v>56</v>
      </c>
      <c r="D237" s="63" t="s">
        <v>194</v>
      </c>
      <c r="E237" s="11" t="s">
        <v>244</v>
      </c>
      <c r="F237" s="56">
        <f t="shared" si="70"/>
        <v>174979.6</v>
      </c>
      <c r="G237" s="14">
        <f aca="true" t="shared" si="72" ref="G237:O237">G238+G241</f>
        <v>0</v>
      </c>
      <c r="H237" s="14">
        <v>33321.4</v>
      </c>
      <c r="I237" s="14">
        <f t="shared" si="72"/>
        <v>96380.8</v>
      </c>
      <c r="J237" s="14">
        <f t="shared" si="72"/>
        <v>35523.3</v>
      </c>
      <c r="K237" s="14">
        <f t="shared" si="72"/>
        <v>9754.1</v>
      </c>
      <c r="L237" s="14">
        <f t="shared" si="72"/>
        <v>0</v>
      </c>
      <c r="M237" s="14">
        <f t="shared" si="72"/>
        <v>0</v>
      </c>
      <c r="N237" s="14">
        <f t="shared" si="72"/>
        <v>0</v>
      </c>
      <c r="O237" s="14">
        <f t="shared" si="72"/>
        <v>0</v>
      </c>
      <c r="P237" s="57">
        <f t="shared" si="71"/>
        <v>0</v>
      </c>
      <c r="Q237" s="18">
        <f t="shared" si="60"/>
        <v>0</v>
      </c>
      <c r="R237" s="41"/>
    </row>
    <row r="238" spans="1:18" s="9" customFormat="1" ht="47.25" customHeight="1" outlineLevel="3">
      <c r="A238" s="129"/>
      <c r="B238" s="130"/>
      <c r="C238" s="55" t="s">
        <v>56</v>
      </c>
      <c r="D238" s="63" t="s">
        <v>194</v>
      </c>
      <c r="E238" s="11" t="s">
        <v>552</v>
      </c>
      <c r="F238" s="56">
        <f t="shared" si="70"/>
        <v>2599.9000000000005</v>
      </c>
      <c r="G238" s="14">
        <f aca="true" t="shared" si="73" ref="G238:O238">G239+G240</f>
        <v>0</v>
      </c>
      <c r="H238" s="14">
        <f t="shared" si="73"/>
        <v>1300.4</v>
      </c>
      <c r="I238" s="14">
        <f t="shared" si="73"/>
        <v>1273.7</v>
      </c>
      <c r="J238" s="14">
        <f t="shared" si="73"/>
        <v>25.8</v>
      </c>
      <c r="K238" s="14">
        <f t="shared" si="73"/>
        <v>0</v>
      </c>
      <c r="L238" s="14">
        <f t="shared" si="73"/>
        <v>0</v>
      </c>
      <c r="M238" s="14">
        <f t="shared" si="73"/>
        <v>0</v>
      </c>
      <c r="N238" s="14">
        <f t="shared" si="73"/>
        <v>0</v>
      </c>
      <c r="O238" s="14">
        <f t="shared" si="73"/>
        <v>0</v>
      </c>
      <c r="P238" s="57">
        <f t="shared" si="71"/>
        <v>0</v>
      </c>
      <c r="Q238" s="18">
        <f t="shared" si="60"/>
        <v>0</v>
      </c>
      <c r="R238" s="41"/>
    </row>
    <row r="239" spans="1:18" s="9" customFormat="1" ht="69.75" customHeight="1" outlineLevel="3">
      <c r="A239" s="129"/>
      <c r="B239" s="130"/>
      <c r="C239" s="55" t="s">
        <v>56</v>
      </c>
      <c r="D239" s="63" t="s">
        <v>194</v>
      </c>
      <c r="E239" s="11" t="s">
        <v>228</v>
      </c>
      <c r="F239" s="56">
        <f t="shared" si="70"/>
        <v>1087</v>
      </c>
      <c r="G239" s="14">
        <f aca="true" t="shared" si="74" ref="G239:O239">G266</f>
        <v>0</v>
      </c>
      <c r="H239" s="14">
        <f t="shared" si="74"/>
        <v>650.2</v>
      </c>
      <c r="I239" s="14">
        <f>I266+I268</f>
        <v>436.8</v>
      </c>
      <c r="J239" s="14">
        <f t="shared" si="74"/>
        <v>0</v>
      </c>
      <c r="K239" s="14">
        <f t="shared" si="74"/>
        <v>0</v>
      </c>
      <c r="L239" s="14">
        <f t="shared" si="74"/>
        <v>0</v>
      </c>
      <c r="M239" s="14">
        <f t="shared" si="74"/>
        <v>0</v>
      </c>
      <c r="N239" s="14">
        <f t="shared" si="74"/>
        <v>0</v>
      </c>
      <c r="O239" s="14">
        <f t="shared" si="74"/>
        <v>0</v>
      </c>
      <c r="P239" s="57">
        <f t="shared" si="71"/>
        <v>0</v>
      </c>
      <c r="Q239" s="18">
        <f t="shared" si="60"/>
        <v>0</v>
      </c>
      <c r="R239" s="41"/>
    </row>
    <row r="240" spans="1:18" s="9" customFormat="1" ht="47.25" customHeight="1" outlineLevel="3">
      <c r="A240" s="129"/>
      <c r="B240" s="130"/>
      <c r="C240" s="55" t="s">
        <v>56</v>
      </c>
      <c r="D240" s="63" t="s">
        <v>194</v>
      </c>
      <c r="E240" s="11" t="s">
        <v>407</v>
      </c>
      <c r="F240" s="56">
        <f t="shared" si="70"/>
        <v>1512.9</v>
      </c>
      <c r="G240" s="14">
        <f>G267+G268</f>
        <v>0</v>
      </c>
      <c r="H240" s="14">
        <f>H267+H268</f>
        <v>650.2</v>
      </c>
      <c r="I240" s="14">
        <f>I267+I269</f>
        <v>836.9000000000001</v>
      </c>
      <c r="J240" s="14">
        <f aca="true" t="shared" si="75" ref="J240:O240">J267</f>
        <v>25.8</v>
      </c>
      <c r="K240" s="14">
        <f t="shared" si="75"/>
        <v>0</v>
      </c>
      <c r="L240" s="14">
        <f t="shared" si="75"/>
        <v>0</v>
      </c>
      <c r="M240" s="14">
        <f t="shared" si="75"/>
        <v>0</v>
      </c>
      <c r="N240" s="14">
        <f t="shared" si="75"/>
        <v>0</v>
      </c>
      <c r="O240" s="14">
        <f t="shared" si="75"/>
        <v>0</v>
      </c>
      <c r="P240" s="57">
        <f t="shared" si="71"/>
        <v>0</v>
      </c>
      <c r="Q240" s="18">
        <f t="shared" si="60"/>
        <v>0</v>
      </c>
      <c r="R240" s="41"/>
    </row>
    <row r="241" spans="1:18" s="9" customFormat="1" ht="47.25" customHeight="1" outlineLevel="3">
      <c r="A241" s="129"/>
      <c r="B241" s="130"/>
      <c r="C241" s="55" t="s">
        <v>56</v>
      </c>
      <c r="D241" s="63" t="s">
        <v>194</v>
      </c>
      <c r="E241" s="11" t="s">
        <v>553</v>
      </c>
      <c r="F241" s="56">
        <f t="shared" si="70"/>
        <v>172379.7</v>
      </c>
      <c r="G241" s="14">
        <f aca="true" t="shared" si="76" ref="G241:O241">G242+G243</f>
        <v>0</v>
      </c>
      <c r="H241" s="14">
        <v>32021</v>
      </c>
      <c r="I241" s="14">
        <f t="shared" si="76"/>
        <v>95107.1</v>
      </c>
      <c r="J241" s="14">
        <f t="shared" si="76"/>
        <v>35497.5</v>
      </c>
      <c r="K241" s="14">
        <f t="shared" si="76"/>
        <v>9754.1</v>
      </c>
      <c r="L241" s="14">
        <f t="shared" si="76"/>
        <v>0</v>
      </c>
      <c r="M241" s="14">
        <f t="shared" si="76"/>
        <v>0</v>
      </c>
      <c r="N241" s="14">
        <f t="shared" si="76"/>
        <v>0</v>
      </c>
      <c r="O241" s="14">
        <f t="shared" si="76"/>
        <v>0</v>
      </c>
      <c r="P241" s="57">
        <f t="shared" si="71"/>
        <v>0</v>
      </c>
      <c r="Q241" s="18">
        <f t="shared" si="60"/>
        <v>0</v>
      </c>
      <c r="R241" s="41"/>
    </row>
    <row r="242" spans="1:18" s="9" customFormat="1" ht="36.75" customHeight="1" outlineLevel="3">
      <c r="A242" s="129"/>
      <c r="B242" s="130"/>
      <c r="C242" s="55" t="s">
        <v>56</v>
      </c>
      <c r="D242" s="63" t="s">
        <v>194</v>
      </c>
      <c r="E242" s="11" t="s">
        <v>230</v>
      </c>
      <c r="F242" s="56">
        <f t="shared" si="70"/>
        <v>87547.5</v>
      </c>
      <c r="G242" s="14">
        <f aca="true" t="shared" si="77" ref="G242:O242">G247+G244+G249+G251+G253+G255+G257+G259+G261</f>
        <v>0</v>
      </c>
      <c r="H242" s="14">
        <v>16010.5</v>
      </c>
      <c r="I242" s="14">
        <f t="shared" si="77"/>
        <v>48246.3</v>
      </c>
      <c r="J242" s="14">
        <f>J247+J244+J249+J251+J253+J255+J257+J259+J261</f>
        <v>18413.699999999997</v>
      </c>
      <c r="K242" s="14">
        <f t="shared" si="77"/>
        <v>4877</v>
      </c>
      <c r="L242" s="14">
        <f t="shared" si="77"/>
        <v>0</v>
      </c>
      <c r="M242" s="14">
        <f t="shared" si="77"/>
        <v>0</v>
      </c>
      <c r="N242" s="14">
        <f t="shared" si="77"/>
        <v>0</v>
      </c>
      <c r="O242" s="14">
        <f t="shared" si="77"/>
        <v>0</v>
      </c>
      <c r="P242" s="57">
        <f t="shared" si="71"/>
        <v>0</v>
      </c>
      <c r="Q242" s="18">
        <f t="shared" si="60"/>
        <v>0</v>
      </c>
      <c r="R242" s="41"/>
    </row>
    <row r="243" spans="1:18" s="9" customFormat="1" ht="46.5" customHeight="1" outlineLevel="3">
      <c r="A243" s="124"/>
      <c r="B243" s="128"/>
      <c r="C243" s="55" t="s">
        <v>56</v>
      </c>
      <c r="D243" s="63" t="s">
        <v>194</v>
      </c>
      <c r="E243" s="11" t="s">
        <v>229</v>
      </c>
      <c r="F243" s="56">
        <f t="shared" si="70"/>
        <v>84832.20000000001</v>
      </c>
      <c r="G243" s="14">
        <f aca="true" t="shared" si="78" ref="G243:O243">G245+G246+G248+G250+G252+G254+G256+G258+G260</f>
        <v>0</v>
      </c>
      <c r="H243" s="14">
        <v>16010.5</v>
      </c>
      <c r="I243" s="14">
        <f t="shared" si="78"/>
        <v>46860.8</v>
      </c>
      <c r="J243" s="14">
        <f t="shared" si="78"/>
        <v>17083.800000000003</v>
      </c>
      <c r="K243" s="14">
        <f t="shared" si="78"/>
        <v>4877.1</v>
      </c>
      <c r="L243" s="14">
        <f t="shared" si="78"/>
        <v>0</v>
      </c>
      <c r="M243" s="14">
        <f t="shared" si="78"/>
        <v>0</v>
      </c>
      <c r="N243" s="14">
        <f t="shared" si="78"/>
        <v>0</v>
      </c>
      <c r="O243" s="14">
        <f t="shared" si="78"/>
        <v>0</v>
      </c>
      <c r="P243" s="57">
        <f t="shared" si="71"/>
        <v>0</v>
      </c>
      <c r="Q243" s="18">
        <f t="shared" si="60"/>
        <v>0</v>
      </c>
      <c r="R243" s="41"/>
    </row>
    <row r="244" spans="1:18" s="9" customFormat="1" ht="48.75" customHeight="1" outlineLevel="3">
      <c r="A244" s="123" t="s">
        <v>458</v>
      </c>
      <c r="B244" s="127" t="s">
        <v>627</v>
      </c>
      <c r="C244" s="55" t="s">
        <v>56</v>
      </c>
      <c r="D244" s="63" t="s">
        <v>194</v>
      </c>
      <c r="E244" s="11" t="s">
        <v>230</v>
      </c>
      <c r="F244" s="56">
        <f t="shared" si="70"/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57">
        <f t="shared" si="71"/>
        <v>0</v>
      </c>
      <c r="Q244" s="18">
        <f t="shared" si="60"/>
        <v>0</v>
      </c>
      <c r="R244" s="41"/>
    </row>
    <row r="245" spans="1:18" s="9" customFormat="1" ht="54.75" customHeight="1" outlineLevel="3">
      <c r="A245" s="124"/>
      <c r="B245" s="128"/>
      <c r="C245" s="55" t="s">
        <v>56</v>
      </c>
      <c r="D245" s="63" t="s">
        <v>194</v>
      </c>
      <c r="E245" s="11" t="s">
        <v>229</v>
      </c>
      <c r="F245" s="56">
        <f t="shared" si="70"/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57">
        <f t="shared" si="71"/>
        <v>0</v>
      </c>
      <c r="Q245" s="18">
        <f t="shared" si="60"/>
        <v>0</v>
      </c>
      <c r="R245" s="41"/>
    </row>
    <row r="246" spans="1:18" s="9" customFormat="1" ht="47.25" customHeight="1" outlineLevel="3">
      <c r="A246" s="123" t="s">
        <v>457</v>
      </c>
      <c r="B246" s="125" t="s">
        <v>572</v>
      </c>
      <c r="C246" s="55" t="s">
        <v>56</v>
      </c>
      <c r="D246" s="63" t="s">
        <v>194</v>
      </c>
      <c r="E246" s="11" t="s">
        <v>229</v>
      </c>
      <c r="F246" s="56">
        <f t="shared" si="70"/>
        <v>7853.6</v>
      </c>
      <c r="G246" s="14">
        <v>0</v>
      </c>
      <c r="H246" s="14">
        <v>0</v>
      </c>
      <c r="I246" s="14">
        <f>7853.6</f>
        <v>7853.6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57">
        <f t="shared" si="71"/>
        <v>0</v>
      </c>
      <c r="Q246" s="18">
        <f t="shared" si="60"/>
        <v>0</v>
      </c>
      <c r="R246" s="41"/>
    </row>
    <row r="247" spans="1:18" s="9" customFormat="1" ht="47.25" customHeight="1" outlineLevel="3">
      <c r="A247" s="124"/>
      <c r="B247" s="126"/>
      <c r="C247" s="55" t="s">
        <v>56</v>
      </c>
      <c r="D247" s="63" t="s">
        <v>194</v>
      </c>
      <c r="E247" s="11" t="s">
        <v>230</v>
      </c>
      <c r="F247" s="56">
        <f t="shared" si="70"/>
        <v>8855.3</v>
      </c>
      <c r="G247" s="14">
        <v>0</v>
      </c>
      <c r="H247" s="14">
        <v>0</v>
      </c>
      <c r="I247" s="14">
        <v>8855.3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57">
        <f t="shared" si="71"/>
        <v>0</v>
      </c>
      <c r="Q247" s="18">
        <f t="shared" si="60"/>
        <v>0</v>
      </c>
      <c r="R247" s="41"/>
    </row>
    <row r="248" spans="1:18" s="9" customFormat="1" ht="47.25" customHeight="1" outlineLevel="3">
      <c r="A248" s="123" t="s">
        <v>459</v>
      </c>
      <c r="B248" s="125" t="s">
        <v>571</v>
      </c>
      <c r="C248" s="55" t="s">
        <v>56</v>
      </c>
      <c r="D248" s="63" t="s">
        <v>194</v>
      </c>
      <c r="E248" s="11" t="s">
        <v>229</v>
      </c>
      <c r="F248" s="56">
        <f t="shared" si="70"/>
        <v>12728.300000000001</v>
      </c>
      <c r="G248" s="14">
        <v>0</v>
      </c>
      <c r="H248" s="14">
        <v>3724.1</v>
      </c>
      <c r="I248" s="14">
        <f>2884.8+3550.2</f>
        <v>6435</v>
      </c>
      <c r="J248" s="14">
        <f>2884.8-315.7+0.1</f>
        <v>2569.2000000000003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57">
        <f t="shared" si="71"/>
        <v>0</v>
      </c>
      <c r="Q248" s="18">
        <f t="shared" si="60"/>
        <v>0</v>
      </c>
      <c r="R248" s="41"/>
    </row>
    <row r="249" spans="1:18" s="9" customFormat="1" ht="47.25" customHeight="1" outlineLevel="3">
      <c r="A249" s="124"/>
      <c r="B249" s="126"/>
      <c r="C249" s="55" t="s">
        <v>56</v>
      </c>
      <c r="D249" s="63" t="s">
        <v>194</v>
      </c>
      <c r="E249" s="11" t="s">
        <v>230</v>
      </c>
      <c r="F249" s="56">
        <f t="shared" si="70"/>
        <v>13043.900000000001</v>
      </c>
      <c r="G249" s="14">
        <v>0</v>
      </c>
      <c r="H249" s="14">
        <v>3724.1</v>
      </c>
      <c r="I249" s="14">
        <f>2884.8+3550.2</f>
        <v>6435</v>
      </c>
      <c r="J249" s="14">
        <f>2884.8</f>
        <v>2884.8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57">
        <f t="shared" si="71"/>
        <v>0</v>
      </c>
      <c r="Q249" s="18">
        <f t="shared" si="60"/>
        <v>0</v>
      </c>
      <c r="R249" s="41"/>
    </row>
    <row r="250" spans="1:18" s="9" customFormat="1" ht="47.25" customHeight="1" outlineLevel="3">
      <c r="A250" s="123" t="s">
        <v>460</v>
      </c>
      <c r="B250" s="125" t="s">
        <v>501</v>
      </c>
      <c r="C250" s="55" t="s">
        <v>56</v>
      </c>
      <c r="D250" s="63" t="s">
        <v>194</v>
      </c>
      <c r="E250" s="11" t="s">
        <v>229</v>
      </c>
      <c r="F250" s="56">
        <f t="shared" si="70"/>
        <v>12856.4</v>
      </c>
      <c r="G250" s="14">
        <v>0</v>
      </c>
      <c r="H250" s="14">
        <v>3819.9</v>
      </c>
      <c r="I250" s="14">
        <f>2974.6+3424</f>
        <v>6398.6</v>
      </c>
      <c r="J250" s="14">
        <f>2974.6-336.7</f>
        <v>2637.9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57">
        <f t="shared" si="71"/>
        <v>0</v>
      </c>
      <c r="Q250" s="18">
        <f t="shared" si="60"/>
        <v>0</v>
      </c>
      <c r="R250" s="41"/>
    </row>
    <row r="251" spans="1:18" s="9" customFormat="1" ht="47.25" customHeight="1" outlineLevel="3">
      <c r="A251" s="124"/>
      <c r="B251" s="126"/>
      <c r="C251" s="55" t="s">
        <v>56</v>
      </c>
      <c r="D251" s="63" t="s">
        <v>194</v>
      </c>
      <c r="E251" s="11" t="s">
        <v>230</v>
      </c>
      <c r="F251" s="56">
        <f t="shared" si="70"/>
        <v>13193.1</v>
      </c>
      <c r="G251" s="14">
        <v>0</v>
      </c>
      <c r="H251" s="14">
        <v>3819.9</v>
      </c>
      <c r="I251" s="14">
        <f>2974.6+3424</f>
        <v>6398.6</v>
      </c>
      <c r="J251" s="14">
        <f>2974.6</f>
        <v>2974.6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57">
        <f t="shared" si="71"/>
        <v>0</v>
      </c>
      <c r="Q251" s="18">
        <f t="shared" si="60"/>
        <v>0</v>
      </c>
      <c r="R251" s="41"/>
    </row>
    <row r="252" spans="1:18" s="9" customFormat="1" ht="47.25" customHeight="1" outlineLevel="3">
      <c r="A252" s="123" t="s">
        <v>402</v>
      </c>
      <c r="B252" s="125" t="s">
        <v>502</v>
      </c>
      <c r="C252" s="55" t="s">
        <v>56</v>
      </c>
      <c r="D252" s="63" t="s">
        <v>194</v>
      </c>
      <c r="E252" s="11" t="s">
        <v>229</v>
      </c>
      <c r="F252" s="56">
        <f t="shared" si="70"/>
        <v>12489.900000000001</v>
      </c>
      <c r="G252" s="14">
        <v>0</v>
      </c>
      <c r="H252" s="14">
        <v>3560.3</v>
      </c>
      <c r="I252" s="14">
        <f>2960.7+3344.9</f>
        <v>6305.6</v>
      </c>
      <c r="J252" s="14">
        <f>2960.7-336.7</f>
        <v>2624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57">
        <f t="shared" si="71"/>
        <v>0</v>
      </c>
      <c r="Q252" s="18">
        <f t="shared" si="60"/>
        <v>0</v>
      </c>
      <c r="R252" s="41"/>
    </row>
    <row r="253" spans="1:18" s="9" customFormat="1" ht="47.25" customHeight="1" outlineLevel="3">
      <c r="A253" s="124"/>
      <c r="B253" s="126"/>
      <c r="C253" s="55" t="s">
        <v>56</v>
      </c>
      <c r="D253" s="63" t="s">
        <v>194</v>
      </c>
      <c r="E253" s="11" t="s">
        <v>230</v>
      </c>
      <c r="F253" s="56">
        <f t="shared" si="70"/>
        <v>12826.600000000002</v>
      </c>
      <c r="G253" s="14">
        <v>0</v>
      </c>
      <c r="H253" s="14">
        <v>3560.3</v>
      </c>
      <c r="I253" s="14">
        <f>2960.7+3344.9</f>
        <v>6305.6</v>
      </c>
      <c r="J253" s="14">
        <f>2960.7</f>
        <v>2960.7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57">
        <f t="shared" si="71"/>
        <v>0</v>
      </c>
      <c r="Q253" s="18">
        <f t="shared" si="60"/>
        <v>0</v>
      </c>
      <c r="R253" s="41"/>
    </row>
    <row r="254" spans="1:18" s="9" customFormat="1" ht="47.25" customHeight="1" outlineLevel="3">
      <c r="A254" s="123" t="s">
        <v>403</v>
      </c>
      <c r="B254" s="125" t="s">
        <v>503</v>
      </c>
      <c r="C254" s="55" t="s">
        <v>56</v>
      </c>
      <c r="D254" s="63" t="s">
        <v>194</v>
      </c>
      <c r="E254" s="11" t="s">
        <v>229</v>
      </c>
      <c r="F254" s="56">
        <f t="shared" si="70"/>
        <v>5950</v>
      </c>
      <c r="G254" s="14">
        <v>0</v>
      </c>
      <c r="H254" s="14">
        <v>0</v>
      </c>
      <c r="I254" s="14">
        <v>5950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57">
        <f t="shared" si="71"/>
        <v>0</v>
      </c>
      <c r="Q254" s="18">
        <f t="shared" si="60"/>
        <v>0</v>
      </c>
      <c r="R254" s="41"/>
    </row>
    <row r="255" spans="1:18" s="9" customFormat="1" ht="47.25" customHeight="1" outlineLevel="3">
      <c r="A255" s="124"/>
      <c r="B255" s="126"/>
      <c r="C255" s="55" t="s">
        <v>56</v>
      </c>
      <c r="D255" s="63" t="s">
        <v>194</v>
      </c>
      <c r="E255" s="11" t="s">
        <v>230</v>
      </c>
      <c r="F255" s="56">
        <f t="shared" si="70"/>
        <v>6161.8</v>
      </c>
      <c r="G255" s="14">
        <v>0</v>
      </c>
      <c r="H255" s="14">
        <v>0</v>
      </c>
      <c r="I255" s="14">
        <f>6161.8</f>
        <v>6161.8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57">
        <f t="shared" si="71"/>
        <v>0</v>
      </c>
      <c r="Q255" s="18">
        <f aca="true" t="shared" si="79" ref="Q255:Q323">O255+N255+M255+L255+K255+J255+I255+H255+G255-F255</f>
        <v>0</v>
      </c>
      <c r="R255" s="41"/>
    </row>
    <row r="256" spans="1:18" s="9" customFormat="1" ht="47.25" customHeight="1" outlineLevel="3">
      <c r="A256" s="123" t="s">
        <v>404</v>
      </c>
      <c r="B256" s="125" t="s">
        <v>567</v>
      </c>
      <c r="C256" s="55" t="s">
        <v>56</v>
      </c>
      <c r="D256" s="63" t="s">
        <v>194</v>
      </c>
      <c r="E256" s="11" t="s">
        <v>229</v>
      </c>
      <c r="F256" s="56">
        <f t="shared" si="70"/>
        <v>18955.5</v>
      </c>
      <c r="G256" s="14">
        <v>0</v>
      </c>
      <c r="H256" s="14">
        <v>0</v>
      </c>
      <c r="I256" s="14">
        <v>9201.4</v>
      </c>
      <c r="J256" s="14">
        <v>4877</v>
      </c>
      <c r="K256" s="14">
        <v>4877.1</v>
      </c>
      <c r="L256" s="14">
        <v>0</v>
      </c>
      <c r="M256" s="14">
        <v>0</v>
      </c>
      <c r="N256" s="14">
        <v>0</v>
      </c>
      <c r="O256" s="14">
        <v>0</v>
      </c>
      <c r="P256" s="57">
        <f t="shared" si="71"/>
        <v>0</v>
      </c>
      <c r="Q256" s="18">
        <f t="shared" si="79"/>
        <v>0</v>
      </c>
      <c r="R256" s="41"/>
    </row>
    <row r="257" spans="1:18" s="9" customFormat="1" ht="47.25" customHeight="1" outlineLevel="3">
      <c r="A257" s="124"/>
      <c r="B257" s="126"/>
      <c r="C257" s="55" t="s">
        <v>56</v>
      </c>
      <c r="D257" s="63" t="s">
        <v>194</v>
      </c>
      <c r="E257" s="11" t="s">
        <v>230</v>
      </c>
      <c r="F257" s="56">
        <f t="shared" si="70"/>
        <v>19127.4</v>
      </c>
      <c r="G257" s="14">
        <v>0</v>
      </c>
      <c r="H257" s="14">
        <v>0</v>
      </c>
      <c r="I257" s="14">
        <f>9373.4</f>
        <v>9373.4</v>
      </c>
      <c r="J257" s="14">
        <v>4877</v>
      </c>
      <c r="K257" s="14">
        <v>4877</v>
      </c>
      <c r="L257" s="14">
        <v>0</v>
      </c>
      <c r="M257" s="14">
        <v>0</v>
      </c>
      <c r="N257" s="14">
        <v>0</v>
      </c>
      <c r="O257" s="14">
        <v>0</v>
      </c>
      <c r="P257" s="57">
        <f t="shared" si="71"/>
        <v>0</v>
      </c>
      <c r="Q257" s="18">
        <f t="shared" si="79"/>
        <v>0</v>
      </c>
      <c r="R257" s="41"/>
    </row>
    <row r="258" spans="1:18" s="9" customFormat="1" ht="47.25" customHeight="1" outlineLevel="3">
      <c r="A258" s="123" t="s">
        <v>405</v>
      </c>
      <c r="B258" s="125" t="s">
        <v>590</v>
      </c>
      <c r="C258" s="55" t="s">
        <v>56</v>
      </c>
      <c r="D258" s="63" t="s">
        <v>194</v>
      </c>
      <c r="E258" s="11" t="s">
        <v>229</v>
      </c>
      <c r="F258" s="56">
        <f t="shared" si="70"/>
        <v>0</v>
      </c>
      <c r="G258" s="14">
        <v>0</v>
      </c>
      <c r="H258" s="14">
        <v>0</v>
      </c>
      <c r="I258" s="14">
        <f>187.4-187.4</f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57">
        <f t="shared" si="71"/>
        <v>0</v>
      </c>
      <c r="Q258" s="18">
        <f t="shared" si="79"/>
        <v>0</v>
      </c>
      <c r="R258" s="41"/>
    </row>
    <row r="259" spans="1:18" s="9" customFormat="1" ht="47.25" customHeight="1" outlineLevel="3">
      <c r="A259" s="124"/>
      <c r="B259" s="126"/>
      <c r="C259" s="55" t="s">
        <v>56</v>
      </c>
      <c r="D259" s="63" t="s">
        <v>194</v>
      </c>
      <c r="E259" s="11" t="s">
        <v>230</v>
      </c>
      <c r="F259" s="56">
        <f t="shared" si="70"/>
        <v>0</v>
      </c>
      <c r="G259" s="14">
        <v>0</v>
      </c>
      <c r="H259" s="14">
        <v>0</v>
      </c>
      <c r="I259" s="14">
        <f>187.5-187.5</f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57">
        <f t="shared" si="71"/>
        <v>0</v>
      </c>
      <c r="Q259" s="18">
        <f t="shared" si="79"/>
        <v>0</v>
      </c>
      <c r="R259" s="41"/>
    </row>
    <row r="260" spans="1:18" s="9" customFormat="1" ht="47.25" customHeight="1" outlineLevel="3">
      <c r="A260" s="123" t="s">
        <v>406</v>
      </c>
      <c r="B260" s="125" t="s">
        <v>589</v>
      </c>
      <c r="C260" s="55" t="s">
        <v>56</v>
      </c>
      <c r="D260" s="63" t="s">
        <v>194</v>
      </c>
      <c r="E260" s="11" t="s">
        <v>229</v>
      </c>
      <c r="F260" s="56">
        <f t="shared" si="70"/>
        <v>13998.5</v>
      </c>
      <c r="G260" s="14">
        <v>0</v>
      </c>
      <c r="H260" s="14">
        <v>4906.2</v>
      </c>
      <c r="I260" s="14">
        <v>4716.6</v>
      </c>
      <c r="J260" s="14">
        <f>4716.6-340.9</f>
        <v>4375.700000000001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57">
        <f t="shared" si="71"/>
        <v>0</v>
      </c>
      <c r="Q260" s="18">
        <f t="shared" si="79"/>
        <v>0</v>
      </c>
      <c r="R260" s="41"/>
    </row>
    <row r="261" spans="1:18" s="9" customFormat="1" ht="47.25" customHeight="1" outlineLevel="3">
      <c r="A261" s="124"/>
      <c r="B261" s="126"/>
      <c r="C261" s="55" t="s">
        <v>56</v>
      </c>
      <c r="D261" s="63" t="s">
        <v>194</v>
      </c>
      <c r="E261" s="11" t="s">
        <v>230</v>
      </c>
      <c r="F261" s="56">
        <f t="shared" si="70"/>
        <v>14339.4</v>
      </c>
      <c r="G261" s="14">
        <v>0</v>
      </c>
      <c r="H261" s="14">
        <v>4906.2</v>
      </c>
      <c r="I261" s="14">
        <v>4716.6</v>
      </c>
      <c r="J261" s="14">
        <f>4716.6</f>
        <v>4716.6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57">
        <f t="shared" si="71"/>
        <v>0</v>
      </c>
      <c r="Q261" s="18">
        <f t="shared" si="79"/>
        <v>0</v>
      </c>
      <c r="R261" s="41"/>
    </row>
    <row r="262" spans="1:18" s="9" customFormat="1" ht="19.5" customHeight="1" hidden="1" outlineLevel="3">
      <c r="A262" s="72"/>
      <c r="B262" s="111"/>
      <c r="C262" s="55"/>
      <c r="D262" s="63"/>
      <c r="E262" s="11"/>
      <c r="F262" s="56">
        <f t="shared" si="70"/>
        <v>0</v>
      </c>
      <c r="G262" s="14">
        <v>0</v>
      </c>
      <c r="H262" s="14"/>
      <c r="I262" s="14"/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57">
        <f t="shared" si="71"/>
        <v>0</v>
      </c>
      <c r="Q262" s="18">
        <f t="shared" si="79"/>
        <v>0</v>
      </c>
      <c r="R262" s="41"/>
    </row>
    <row r="263" spans="1:17" ht="36.75" customHeight="1" hidden="1" outlineLevel="3">
      <c r="A263" s="123" t="s">
        <v>162</v>
      </c>
      <c r="B263" s="127" t="s">
        <v>161</v>
      </c>
      <c r="C263" s="55" t="s">
        <v>56</v>
      </c>
      <c r="D263" s="63" t="s">
        <v>61</v>
      </c>
      <c r="E263" s="11" t="s">
        <v>1</v>
      </c>
      <c r="F263" s="56">
        <f t="shared" si="70"/>
        <v>0</v>
      </c>
      <c r="G263" s="14">
        <v>0</v>
      </c>
      <c r="H263" s="14">
        <f>H264</f>
        <v>0</v>
      </c>
      <c r="I263" s="14">
        <f>I264</f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57">
        <f t="shared" si="71"/>
        <v>0</v>
      </c>
      <c r="Q263" s="18">
        <f t="shared" si="79"/>
        <v>0</v>
      </c>
    </row>
    <row r="264" spans="1:17" ht="34.5" customHeight="1" hidden="1" outlineLevel="3">
      <c r="A264" s="124"/>
      <c r="B264" s="128"/>
      <c r="C264" s="55" t="s">
        <v>56</v>
      </c>
      <c r="D264" s="63" t="s">
        <v>61</v>
      </c>
      <c r="E264" s="11" t="s">
        <v>2</v>
      </c>
      <c r="F264" s="56">
        <f t="shared" si="70"/>
        <v>0</v>
      </c>
      <c r="G264" s="14">
        <v>0</v>
      </c>
      <c r="H264" s="14">
        <f>H265</f>
        <v>0</v>
      </c>
      <c r="I264" s="14">
        <f>I265</f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57">
        <f t="shared" si="71"/>
        <v>0</v>
      </c>
      <c r="Q264" s="18">
        <f t="shared" si="79"/>
        <v>0</v>
      </c>
    </row>
    <row r="265" spans="1:18" s="43" customFormat="1" ht="18.75" customHeight="1" hidden="1" outlineLevel="3">
      <c r="A265" s="64" t="s">
        <v>164</v>
      </c>
      <c r="B265" s="112" t="s">
        <v>163</v>
      </c>
      <c r="C265" s="55" t="s">
        <v>56</v>
      </c>
      <c r="D265" s="63" t="s">
        <v>61</v>
      </c>
      <c r="E265" s="11" t="s">
        <v>159</v>
      </c>
      <c r="F265" s="56">
        <f t="shared" si="70"/>
        <v>0</v>
      </c>
      <c r="G265" s="14">
        <v>0</v>
      </c>
      <c r="H265" s="14"/>
      <c r="I265" s="14"/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57">
        <f t="shared" si="71"/>
        <v>0</v>
      </c>
      <c r="Q265" s="18">
        <f t="shared" si="79"/>
        <v>0</v>
      </c>
      <c r="R265" s="42"/>
    </row>
    <row r="266" spans="1:18" s="43" customFormat="1" ht="66.75" customHeight="1" outlineLevel="3">
      <c r="A266" s="123" t="s">
        <v>573</v>
      </c>
      <c r="B266" s="127" t="s">
        <v>410</v>
      </c>
      <c r="C266" s="55" t="s">
        <v>56</v>
      </c>
      <c r="D266" s="63" t="s">
        <v>194</v>
      </c>
      <c r="E266" s="11" t="s">
        <v>228</v>
      </c>
      <c r="F266" s="56">
        <f t="shared" si="70"/>
        <v>723.9000000000001</v>
      </c>
      <c r="G266" s="14">
        <v>0</v>
      </c>
      <c r="H266" s="14">
        <v>650.2</v>
      </c>
      <c r="I266" s="14">
        <v>73.7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57">
        <f t="shared" si="71"/>
        <v>0</v>
      </c>
      <c r="Q266" s="18">
        <f t="shared" si="79"/>
        <v>0</v>
      </c>
      <c r="R266" s="42"/>
    </row>
    <row r="267" spans="1:18" s="43" customFormat="1" ht="64.5" customHeight="1" outlineLevel="3">
      <c r="A267" s="124"/>
      <c r="B267" s="128"/>
      <c r="C267" s="55" t="s">
        <v>56</v>
      </c>
      <c r="D267" s="63" t="s">
        <v>194</v>
      </c>
      <c r="E267" s="11" t="s">
        <v>407</v>
      </c>
      <c r="F267" s="56">
        <f t="shared" si="70"/>
        <v>1180.6000000000001</v>
      </c>
      <c r="G267" s="14">
        <v>0</v>
      </c>
      <c r="H267" s="14">
        <v>650.2</v>
      </c>
      <c r="I267" s="14">
        <f>317.2+187.4</f>
        <v>504.6</v>
      </c>
      <c r="J267" s="14">
        <v>25.8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57">
        <f t="shared" si="71"/>
        <v>0</v>
      </c>
      <c r="Q267" s="18">
        <f t="shared" si="79"/>
        <v>0</v>
      </c>
      <c r="R267" s="42"/>
    </row>
    <row r="268" spans="1:18" s="43" customFormat="1" ht="66.75" customHeight="1" outlineLevel="3">
      <c r="A268" s="123" t="s">
        <v>574</v>
      </c>
      <c r="B268" s="127" t="s">
        <v>575</v>
      </c>
      <c r="C268" s="55" t="s">
        <v>56</v>
      </c>
      <c r="D268" s="63" t="s">
        <v>194</v>
      </c>
      <c r="E268" s="11" t="s">
        <v>228</v>
      </c>
      <c r="F268" s="56">
        <f t="shared" si="70"/>
        <v>363.1</v>
      </c>
      <c r="G268" s="14">
        <v>0</v>
      </c>
      <c r="H268" s="14">
        <v>0</v>
      </c>
      <c r="I268" s="14">
        <v>363.1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57">
        <f t="shared" si="71"/>
        <v>0</v>
      </c>
      <c r="Q268" s="18">
        <f t="shared" si="79"/>
        <v>0</v>
      </c>
      <c r="R268" s="42"/>
    </row>
    <row r="269" spans="1:18" s="43" customFormat="1" ht="72.75" customHeight="1" outlineLevel="3">
      <c r="A269" s="124"/>
      <c r="B269" s="128"/>
      <c r="C269" s="55" t="s">
        <v>56</v>
      </c>
      <c r="D269" s="63" t="s">
        <v>194</v>
      </c>
      <c r="E269" s="11" t="s">
        <v>407</v>
      </c>
      <c r="F269" s="56">
        <f t="shared" si="70"/>
        <v>332.3</v>
      </c>
      <c r="G269" s="14">
        <v>0</v>
      </c>
      <c r="H269" s="14">
        <v>0</v>
      </c>
      <c r="I269" s="14">
        <v>332.3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57">
        <f t="shared" si="71"/>
        <v>0</v>
      </c>
      <c r="Q269" s="18">
        <f t="shared" si="79"/>
        <v>0</v>
      </c>
      <c r="R269" s="42"/>
    </row>
    <row r="270" spans="1:18" s="43" customFormat="1" ht="29.25" customHeight="1" outlineLevel="3">
      <c r="A270" s="131" t="s">
        <v>509</v>
      </c>
      <c r="B270" s="127" t="s">
        <v>613</v>
      </c>
      <c r="C270" s="55" t="s">
        <v>56</v>
      </c>
      <c r="D270" s="99" t="s">
        <v>614</v>
      </c>
      <c r="E270" s="101" t="s">
        <v>244</v>
      </c>
      <c r="F270" s="56">
        <f t="shared" si="70"/>
        <v>106370</v>
      </c>
      <c r="G270" s="14">
        <f>G271+G272</f>
        <v>0</v>
      </c>
      <c r="H270" s="14">
        <f aca="true" t="shared" si="80" ref="H270:O270">H271+H272</f>
        <v>0</v>
      </c>
      <c r="I270" s="14">
        <f t="shared" si="80"/>
        <v>0</v>
      </c>
      <c r="J270" s="14">
        <f t="shared" si="80"/>
        <v>0</v>
      </c>
      <c r="K270" s="14">
        <f t="shared" si="80"/>
        <v>0</v>
      </c>
      <c r="L270" s="14">
        <f t="shared" si="80"/>
        <v>32870</v>
      </c>
      <c r="M270" s="14">
        <f t="shared" si="80"/>
        <v>73500</v>
      </c>
      <c r="N270" s="14">
        <f t="shared" si="80"/>
        <v>0</v>
      </c>
      <c r="O270" s="14">
        <f t="shared" si="80"/>
        <v>0</v>
      </c>
      <c r="P270" s="57"/>
      <c r="Q270" s="18"/>
      <c r="R270" s="42"/>
    </row>
    <row r="271" spans="1:18" s="43" customFormat="1" ht="39" customHeight="1" outlineLevel="3">
      <c r="A271" s="131"/>
      <c r="B271" s="130"/>
      <c r="C271" s="55" t="s">
        <v>56</v>
      </c>
      <c r="D271" s="99" t="s">
        <v>614</v>
      </c>
      <c r="E271" s="101" t="s">
        <v>228</v>
      </c>
      <c r="F271" s="56">
        <f t="shared" si="70"/>
        <v>32870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32870</v>
      </c>
      <c r="M271" s="14">
        <v>0</v>
      </c>
      <c r="N271" s="14">
        <v>0</v>
      </c>
      <c r="O271" s="14">
        <v>0</v>
      </c>
      <c r="P271" s="57"/>
      <c r="Q271" s="18"/>
      <c r="R271" s="42"/>
    </row>
    <row r="272" spans="1:18" s="43" customFormat="1" ht="36.75" customHeight="1" outlineLevel="3">
      <c r="A272" s="131"/>
      <c r="B272" s="128"/>
      <c r="C272" s="55" t="s">
        <v>56</v>
      </c>
      <c r="D272" s="99" t="s">
        <v>614</v>
      </c>
      <c r="E272" s="101" t="s">
        <v>229</v>
      </c>
      <c r="F272" s="56">
        <f t="shared" si="70"/>
        <v>73500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73500</v>
      </c>
      <c r="N272" s="14">
        <v>0</v>
      </c>
      <c r="O272" s="14">
        <v>0</v>
      </c>
      <c r="P272" s="57"/>
      <c r="Q272" s="18"/>
      <c r="R272" s="42"/>
    </row>
    <row r="273" spans="1:18" s="43" customFormat="1" ht="47.25" customHeight="1" outlineLevel="3">
      <c r="A273" s="123" t="s">
        <v>526</v>
      </c>
      <c r="B273" s="127" t="s">
        <v>451</v>
      </c>
      <c r="C273" s="55" t="s">
        <v>56</v>
      </c>
      <c r="D273" s="102" t="s">
        <v>527</v>
      </c>
      <c r="E273" s="103" t="s">
        <v>244</v>
      </c>
      <c r="F273" s="56">
        <f>F274+F275+F276</f>
        <v>1541.3</v>
      </c>
      <c r="G273" s="56">
        <f aca="true" t="shared" si="81" ref="G273:O273">G274+G275+G276</f>
        <v>0</v>
      </c>
      <c r="H273" s="56">
        <f t="shared" si="81"/>
        <v>0</v>
      </c>
      <c r="I273" s="56">
        <f t="shared" si="81"/>
        <v>0</v>
      </c>
      <c r="J273" s="56">
        <f t="shared" si="81"/>
        <v>1.3</v>
      </c>
      <c r="K273" s="56">
        <f t="shared" si="81"/>
        <v>1540</v>
      </c>
      <c r="L273" s="56">
        <f t="shared" si="81"/>
        <v>0</v>
      </c>
      <c r="M273" s="56">
        <f t="shared" si="81"/>
        <v>0</v>
      </c>
      <c r="N273" s="56">
        <f t="shared" si="81"/>
        <v>0</v>
      </c>
      <c r="O273" s="56">
        <f t="shared" si="81"/>
        <v>0</v>
      </c>
      <c r="P273" s="57"/>
      <c r="Q273" s="18"/>
      <c r="R273" s="42"/>
    </row>
    <row r="274" spans="1:18" s="43" customFormat="1" ht="57.75" customHeight="1" outlineLevel="3">
      <c r="A274" s="129"/>
      <c r="B274" s="130"/>
      <c r="C274" s="55" t="s">
        <v>56</v>
      </c>
      <c r="D274" s="63" t="s">
        <v>527</v>
      </c>
      <c r="E274" s="11" t="s">
        <v>228</v>
      </c>
      <c r="F274" s="56">
        <f t="shared" si="70"/>
        <v>166.3</v>
      </c>
      <c r="G274" s="14">
        <v>0</v>
      </c>
      <c r="H274" s="14">
        <v>0</v>
      </c>
      <c r="I274" s="14">
        <v>0</v>
      </c>
      <c r="J274" s="14">
        <v>1.3</v>
      </c>
      <c r="K274" s="14">
        <v>165</v>
      </c>
      <c r="L274" s="14">
        <v>0</v>
      </c>
      <c r="M274" s="14">
        <v>0</v>
      </c>
      <c r="N274" s="14">
        <v>0</v>
      </c>
      <c r="O274" s="14">
        <v>0</v>
      </c>
      <c r="P274" s="57">
        <f t="shared" si="71"/>
        <v>0</v>
      </c>
      <c r="Q274" s="18">
        <f t="shared" si="79"/>
        <v>0</v>
      </c>
      <c r="R274" s="42"/>
    </row>
    <row r="275" spans="1:18" s="43" customFormat="1" ht="51.75" customHeight="1" outlineLevel="3">
      <c r="A275" s="129"/>
      <c r="B275" s="130"/>
      <c r="C275" s="55" t="s">
        <v>56</v>
      </c>
      <c r="D275" s="63" t="s">
        <v>527</v>
      </c>
      <c r="E275" s="11" t="s">
        <v>407</v>
      </c>
      <c r="F275" s="56">
        <f t="shared" si="70"/>
        <v>343.7</v>
      </c>
      <c r="G275" s="14">
        <v>0</v>
      </c>
      <c r="H275" s="14">
        <v>0</v>
      </c>
      <c r="I275" s="14">
        <v>0</v>
      </c>
      <c r="J275" s="14">
        <v>0</v>
      </c>
      <c r="K275" s="14">
        <v>343.7</v>
      </c>
      <c r="L275" s="14">
        <v>0</v>
      </c>
      <c r="M275" s="14">
        <v>0</v>
      </c>
      <c r="N275" s="14">
        <v>0</v>
      </c>
      <c r="O275" s="14">
        <v>0</v>
      </c>
      <c r="P275" s="57">
        <f t="shared" si="71"/>
        <v>0</v>
      </c>
      <c r="Q275" s="18">
        <f t="shared" si="79"/>
        <v>0</v>
      </c>
      <c r="R275" s="42"/>
    </row>
    <row r="276" spans="1:18" s="43" customFormat="1" ht="33" customHeight="1" outlineLevel="3">
      <c r="A276" s="68"/>
      <c r="B276" s="128"/>
      <c r="C276" s="55" t="s">
        <v>56</v>
      </c>
      <c r="D276" s="63" t="s">
        <v>527</v>
      </c>
      <c r="E276" s="11" t="s">
        <v>450</v>
      </c>
      <c r="F276" s="56">
        <f t="shared" si="70"/>
        <v>1031.3</v>
      </c>
      <c r="G276" s="14">
        <v>0</v>
      </c>
      <c r="H276" s="14">
        <v>0</v>
      </c>
      <c r="I276" s="14">
        <v>0</v>
      </c>
      <c r="J276" s="14">
        <v>0</v>
      </c>
      <c r="K276" s="14">
        <v>1031.3</v>
      </c>
      <c r="L276" s="14">
        <v>0</v>
      </c>
      <c r="M276" s="14">
        <v>0</v>
      </c>
      <c r="N276" s="14">
        <v>0</v>
      </c>
      <c r="O276" s="14">
        <v>0</v>
      </c>
      <c r="P276" s="57">
        <f t="shared" si="71"/>
        <v>0</v>
      </c>
      <c r="Q276" s="18">
        <f t="shared" si="79"/>
        <v>0</v>
      </c>
      <c r="R276" s="42"/>
    </row>
    <row r="277" spans="1:18" s="43" customFormat="1" ht="39.75" customHeight="1" outlineLevel="3">
      <c r="A277" s="100" t="s">
        <v>530</v>
      </c>
      <c r="B277" s="110" t="s">
        <v>512</v>
      </c>
      <c r="C277" s="55" t="s">
        <v>56</v>
      </c>
      <c r="D277" s="63" t="s">
        <v>61</v>
      </c>
      <c r="E277" s="11" t="s">
        <v>225</v>
      </c>
      <c r="F277" s="56" t="s">
        <v>510</v>
      </c>
      <c r="G277" s="14" t="s">
        <v>510</v>
      </c>
      <c r="H277" s="14" t="s">
        <v>510</v>
      </c>
      <c r="I277" s="14" t="s">
        <v>510</v>
      </c>
      <c r="J277" s="14" t="s">
        <v>511</v>
      </c>
      <c r="K277" s="14" t="s">
        <v>511</v>
      </c>
      <c r="L277" s="14" t="s">
        <v>511</v>
      </c>
      <c r="M277" s="14" t="s">
        <v>511</v>
      </c>
      <c r="N277" s="14" t="s">
        <v>511</v>
      </c>
      <c r="O277" s="14" t="s">
        <v>511</v>
      </c>
      <c r="P277" s="57" t="e">
        <f t="shared" si="71"/>
        <v>#VALUE!</v>
      </c>
      <c r="Q277" s="18" t="e">
        <f t="shared" si="79"/>
        <v>#VALUE!</v>
      </c>
      <c r="R277" s="42"/>
    </row>
    <row r="278" spans="1:18" s="43" customFormat="1" ht="29.25" customHeight="1" outlineLevel="3">
      <c r="A278" s="131" t="s">
        <v>615</v>
      </c>
      <c r="B278" s="132" t="s">
        <v>600</v>
      </c>
      <c r="C278" s="55" t="s">
        <v>56</v>
      </c>
      <c r="D278" s="102" t="s">
        <v>537</v>
      </c>
      <c r="E278" s="103" t="s">
        <v>244</v>
      </c>
      <c r="F278" s="56">
        <f>F279+F280</f>
        <v>7004.5</v>
      </c>
      <c r="G278" s="56">
        <f aca="true" t="shared" si="82" ref="G278:O278">G279+G280</f>
        <v>0</v>
      </c>
      <c r="H278" s="56">
        <f t="shared" si="82"/>
        <v>0</v>
      </c>
      <c r="I278" s="56">
        <f t="shared" si="82"/>
        <v>0</v>
      </c>
      <c r="J278" s="56">
        <f t="shared" si="82"/>
        <v>0</v>
      </c>
      <c r="K278" s="56">
        <f t="shared" si="82"/>
        <v>7004.5</v>
      </c>
      <c r="L278" s="56">
        <f t="shared" si="82"/>
        <v>0</v>
      </c>
      <c r="M278" s="56">
        <f t="shared" si="82"/>
        <v>0</v>
      </c>
      <c r="N278" s="56">
        <f t="shared" si="82"/>
        <v>0</v>
      </c>
      <c r="O278" s="56">
        <f t="shared" si="82"/>
        <v>0</v>
      </c>
      <c r="P278" s="57"/>
      <c r="Q278" s="18"/>
      <c r="R278" s="42"/>
    </row>
    <row r="279" spans="1:18" s="43" customFormat="1" ht="38.25" customHeight="1" outlineLevel="3">
      <c r="A279" s="131"/>
      <c r="B279" s="132"/>
      <c r="C279" s="55" t="s">
        <v>56</v>
      </c>
      <c r="D279" s="63" t="s">
        <v>537</v>
      </c>
      <c r="E279" s="11" t="s">
        <v>228</v>
      </c>
      <c r="F279" s="56">
        <f t="shared" si="70"/>
        <v>140.1</v>
      </c>
      <c r="G279" s="14">
        <v>0</v>
      </c>
      <c r="H279" s="14">
        <v>0</v>
      </c>
      <c r="I279" s="14">
        <v>0</v>
      </c>
      <c r="J279" s="14">
        <v>0</v>
      </c>
      <c r="K279" s="14">
        <v>140.1</v>
      </c>
      <c r="L279" s="14">
        <v>0</v>
      </c>
      <c r="M279" s="14">
        <v>0</v>
      </c>
      <c r="N279" s="14">
        <v>0</v>
      </c>
      <c r="O279" s="14">
        <v>0</v>
      </c>
      <c r="P279" s="57"/>
      <c r="Q279" s="18">
        <f t="shared" si="79"/>
        <v>0</v>
      </c>
      <c r="R279" s="42"/>
    </row>
    <row r="280" spans="1:18" s="43" customFormat="1" ht="43.5" customHeight="1" outlineLevel="3">
      <c r="A280" s="131"/>
      <c r="B280" s="132"/>
      <c r="C280" s="55" t="s">
        <v>56</v>
      </c>
      <c r="D280" s="63" t="s">
        <v>537</v>
      </c>
      <c r="E280" s="11" t="s">
        <v>407</v>
      </c>
      <c r="F280" s="56">
        <f t="shared" si="70"/>
        <v>6864.4</v>
      </c>
      <c r="G280" s="14">
        <v>0</v>
      </c>
      <c r="H280" s="14">
        <v>0</v>
      </c>
      <c r="I280" s="14">
        <v>0</v>
      </c>
      <c r="J280" s="14">
        <v>0</v>
      </c>
      <c r="K280" s="14">
        <v>6864.4</v>
      </c>
      <c r="L280" s="14">
        <v>0</v>
      </c>
      <c r="M280" s="14">
        <v>0</v>
      </c>
      <c r="N280" s="14">
        <v>0</v>
      </c>
      <c r="O280" s="14">
        <v>0</v>
      </c>
      <c r="P280" s="57"/>
      <c r="Q280" s="18">
        <f t="shared" si="79"/>
        <v>0</v>
      </c>
      <c r="R280" s="42"/>
    </row>
    <row r="281" spans="1:17" ht="37.5" customHeight="1" outlineLevel="1">
      <c r="A281" s="123" t="s">
        <v>251</v>
      </c>
      <c r="B281" s="127" t="s">
        <v>485</v>
      </c>
      <c r="C281" s="55" t="s">
        <v>56</v>
      </c>
      <c r="D281" s="55" t="s">
        <v>109</v>
      </c>
      <c r="E281" s="11" t="s">
        <v>244</v>
      </c>
      <c r="F281" s="56">
        <f t="shared" si="70"/>
        <v>14570.800000000001</v>
      </c>
      <c r="G281" s="14">
        <f aca="true" t="shared" si="83" ref="G281:O281">G283</f>
        <v>780</v>
      </c>
      <c r="H281" s="14">
        <f t="shared" si="83"/>
        <v>1433.9</v>
      </c>
      <c r="I281" s="14">
        <f t="shared" si="83"/>
        <v>1644.7</v>
      </c>
      <c r="J281" s="14">
        <f t="shared" si="83"/>
        <v>1601.1</v>
      </c>
      <c r="K281" s="14">
        <f t="shared" si="83"/>
        <v>1943.7</v>
      </c>
      <c r="L281" s="14">
        <f t="shared" si="83"/>
        <v>1698.3</v>
      </c>
      <c r="M281" s="14">
        <f t="shared" si="83"/>
        <v>1168.9</v>
      </c>
      <c r="N281" s="14">
        <f t="shared" si="83"/>
        <v>2150.1</v>
      </c>
      <c r="O281" s="14">
        <f t="shared" si="83"/>
        <v>2150.1</v>
      </c>
      <c r="P281" s="57">
        <f t="shared" si="71"/>
        <v>-5469.1</v>
      </c>
      <c r="Q281" s="18">
        <f t="shared" si="79"/>
        <v>0</v>
      </c>
    </row>
    <row r="282" spans="1:17" ht="24" customHeight="1" outlineLevel="1">
      <c r="A282" s="124"/>
      <c r="B282" s="128"/>
      <c r="C282" s="55" t="s">
        <v>56</v>
      </c>
      <c r="D282" s="55" t="s">
        <v>109</v>
      </c>
      <c r="E282" s="11" t="s">
        <v>225</v>
      </c>
      <c r="F282" s="56">
        <f t="shared" si="70"/>
        <v>14570.800000000001</v>
      </c>
      <c r="G282" s="14">
        <f aca="true" t="shared" si="84" ref="G282:O282">G285</f>
        <v>780</v>
      </c>
      <c r="H282" s="14">
        <f t="shared" si="84"/>
        <v>1433.9</v>
      </c>
      <c r="I282" s="14">
        <f t="shared" si="84"/>
        <v>1644.7</v>
      </c>
      <c r="J282" s="14">
        <f t="shared" si="84"/>
        <v>1601.1</v>
      </c>
      <c r="K282" s="14">
        <f t="shared" si="84"/>
        <v>1943.7</v>
      </c>
      <c r="L282" s="14">
        <f t="shared" si="84"/>
        <v>1698.3</v>
      </c>
      <c r="M282" s="14">
        <f t="shared" si="84"/>
        <v>1168.9</v>
      </c>
      <c r="N282" s="14">
        <f t="shared" si="84"/>
        <v>2150.1</v>
      </c>
      <c r="O282" s="14">
        <f t="shared" si="84"/>
        <v>2150.1</v>
      </c>
      <c r="P282" s="57">
        <f t="shared" si="71"/>
        <v>-5469.1</v>
      </c>
      <c r="Q282" s="18">
        <f t="shared" si="79"/>
        <v>0</v>
      </c>
    </row>
    <row r="283" spans="1:18" s="40" customFormat="1" ht="42" customHeight="1" outlineLevel="2">
      <c r="A283" s="123" t="s">
        <v>252</v>
      </c>
      <c r="B283" s="127" t="s">
        <v>462</v>
      </c>
      <c r="C283" s="55" t="s">
        <v>56</v>
      </c>
      <c r="D283" s="55" t="s">
        <v>110</v>
      </c>
      <c r="E283" s="11" t="s">
        <v>244</v>
      </c>
      <c r="F283" s="56">
        <f t="shared" si="70"/>
        <v>14570.800000000001</v>
      </c>
      <c r="G283" s="14">
        <f aca="true" t="shared" si="85" ref="G283:O283">G285+G284</f>
        <v>780</v>
      </c>
      <c r="H283" s="14">
        <f t="shared" si="85"/>
        <v>1433.9</v>
      </c>
      <c r="I283" s="14">
        <f t="shared" si="85"/>
        <v>1644.7</v>
      </c>
      <c r="J283" s="14">
        <f t="shared" si="85"/>
        <v>1601.1</v>
      </c>
      <c r="K283" s="14">
        <f t="shared" si="85"/>
        <v>1943.7</v>
      </c>
      <c r="L283" s="14">
        <f t="shared" si="85"/>
        <v>1698.3</v>
      </c>
      <c r="M283" s="14">
        <f t="shared" si="85"/>
        <v>1168.9</v>
      </c>
      <c r="N283" s="14">
        <f t="shared" si="85"/>
        <v>2150.1</v>
      </c>
      <c r="O283" s="14">
        <f t="shared" si="85"/>
        <v>2150.1</v>
      </c>
      <c r="P283" s="57">
        <f t="shared" si="71"/>
        <v>-5469.1</v>
      </c>
      <c r="Q283" s="18">
        <f t="shared" si="79"/>
        <v>0</v>
      </c>
      <c r="R283" s="39"/>
    </row>
    <row r="284" spans="1:18" s="40" customFormat="1" ht="51" customHeight="1" hidden="1" outlineLevel="2">
      <c r="A284" s="129"/>
      <c r="B284" s="130"/>
      <c r="C284" s="55"/>
      <c r="D284" s="55"/>
      <c r="E284" s="11" t="s">
        <v>19</v>
      </c>
      <c r="F284" s="56">
        <f t="shared" si="70"/>
        <v>0</v>
      </c>
      <c r="G284" s="14"/>
      <c r="H284" s="14"/>
      <c r="I284" s="14"/>
      <c r="J284" s="14"/>
      <c r="K284" s="14"/>
      <c r="L284" s="14"/>
      <c r="M284" s="14"/>
      <c r="N284" s="14"/>
      <c r="O284" s="14"/>
      <c r="P284" s="57">
        <f t="shared" si="71"/>
        <v>0</v>
      </c>
      <c r="Q284" s="18">
        <f t="shared" si="79"/>
        <v>0</v>
      </c>
      <c r="R284" s="39"/>
    </row>
    <row r="285" spans="1:18" s="40" customFormat="1" ht="39.75" customHeight="1" outlineLevel="2" collapsed="1">
      <c r="A285" s="124"/>
      <c r="B285" s="128"/>
      <c r="C285" s="55" t="s">
        <v>56</v>
      </c>
      <c r="D285" s="55" t="s">
        <v>110</v>
      </c>
      <c r="E285" s="11" t="s">
        <v>225</v>
      </c>
      <c r="F285" s="56">
        <f t="shared" si="70"/>
        <v>14570.800000000001</v>
      </c>
      <c r="G285" s="14">
        <f>G310</f>
        <v>780</v>
      </c>
      <c r="H285" s="14">
        <f>H310</f>
        <v>1433.9</v>
      </c>
      <c r="I285" s="14">
        <v>1644.7</v>
      </c>
      <c r="J285" s="14">
        <f>J310+299.4</f>
        <v>1601.1</v>
      </c>
      <c r="K285" s="14">
        <v>1943.7</v>
      </c>
      <c r="L285" s="14">
        <v>1698.3</v>
      </c>
      <c r="M285" s="14">
        <v>1168.9</v>
      </c>
      <c r="N285" s="14">
        <v>2150.1</v>
      </c>
      <c r="O285" s="14">
        <v>2150.1</v>
      </c>
      <c r="P285" s="57">
        <f t="shared" si="71"/>
        <v>-5469.1</v>
      </c>
      <c r="Q285" s="18">
        <f t="shared" si="79"/>
        <v>0</v>
      </c>
      <c r="R285" s="39"/>
    </row>
    <row r="286" spans="1:17" ht="12.75" hidden="1" outlineLevel="3">
      <c r="A286" s="64"/>
      <c r="B286" s="112" t="s">
        <v>23</v>
      </c>
      <c r="C286" s="55"/>
      <c r="D286" s="55"/>
      <c r="E286" s="11" t="s">
        <v>5</v>
      </c>
      <c r="F286" s="56">
        <f t="shared" si="70"/>
        <v>0</v>
      </c>
      <c r="G286" s="14"/>
      <c r="H286" s="14"/>
      <c r="I286" s="14"/>
      <c r="J286" s="14"/>
      <c r="K286" s="14"/>
      <c r="L286" s="14"/>
      <c r="M286" s="14"/>
      <c r="N286" s="14"/>
      <c r="O286" s="14"/>
      <c r="P286" s="57">
        <f t="shared" si="71"/>
        <v>0</v>
      </c>
      <c r="Q286" s="18">
        <f t="shared" si="79"/>
        <v>0</v>
      </c>
    </row>
    <row r="287" spans="1:17" ht="12.75" hidden="1" outlineLevel="3">
      <c r="A287" s="64"/>
      <c r="B287" s="112"/>
      <c r="C287" s="55"/>
      <c r="D287" s="55"/>
      <c r="E287" s="11"/>
      <c r="F287" s="56">
        <f t="shared" si="70"/>
        <v>0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57">
        <f t="shared" si="71"/>
        <v>0</v>
      </c>
      <c r="Q287" s="18">
        <f t="shared" si="79"/>
        <v>0</v>
      </c>
    </row>
    <row r="288" spans="1:17" ht="12.75" hidden="1" outlineLevel="3">
      <c r="A288" s="64"/>
      <c r="B288" s="112" t="s">
        <v>28</v>
      </c>
      <c r="C288" s="55"/>
      <c r="D288" s="55"/>
      <c r="E288" s="11" t="s">
        <v>5</v>
      </c>
      <c r="F288" s="56">
        <f t="shared" si="70"/>
        <v>0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57">
        <f t="shared" si="71"/>
        <v>0</v>
      </c>
      <c r="Q288" s="18">
        <f t="shared" si="79"/>
        <v>0</v>
      </c>
    </row>
    <row r="289" spans="1:17" ht="26.25" hidden="1" outlineLevel="3">
      <c r="A289" s="64"/>
      <c r="B289" s="112" t="s">
        <v>54</v>
      </c>
      <c r="C289" s="55"/>
      <c r="D289" s="55"/>
      <c r="E289" s="11" t="s">
        <v>5</v>
      </c>
      <c r="F289" s="56">
        <f t="shared" si="70"/>
        <v>0</v>
      </c>
      <c r="G289" s="14"/>
      <c r="H289" s="14"/>
      <c r="I289" s="14"/>
      <c r="J289" s="14"/>
      <c r="K289" s="14"/>
      <c r="L289" s="14"/>
      <c r="M289" s="14"/>
      <c r="N289" s="14"/>
      <c r="O289" s="14"/>
      <c r="P289" s="57">
        <f t="shared" si="71"/>
        <v>0</v>
      </c>
      <c r="Q289" s="18">
        <f t="shared" si="79"/>
        <v>0</v>
      </c>
    </row>
    <row r="290" spans="1:17" ht="12.75" hidden="1" outlineLevel="3">
      <c r="A290" s="64"/>
      <c r="B290" s="112" t="s">
        <v>21</v>
      </c>
      <c r="C290" s="55"/>
      <c r="D290" s="55"/>
      <c r="E290" s="11" t="s">
        <v>5</v>
      </c>
      <c r="F290" s="56">
        <f t="shared" si="70"/>
        <v>0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57">
        <f t="shared" si="71"/>
        <v>0</v>
      </c>
      <c r="Q290" s="18">
        <f t="shared" si="79"/>
        <v>0</v>
      </c>
    </row>
    <row r="291" spans="1:17" ht="26.25" hidden="1" outlineLevel="3">
      <c r="A291" s="64"/>
      <c r="B291" s="112" t="s">
        <v>34</v>
      </c>
      <c r="C291" s="55"/>
      <c r="D291" s="55"/>
      <c r="E291" s="11" t="s">
        <v>3</v>
      </c>
      <c r="F291" s="56">
        <f t="shared" si="70"/>
        <v>0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57">
        <f t="shared" si="71"/>
        <v>0</v>
      </c>
      <c r="Q291" s="18">
        <f t="shared" si="79"/>
        <v>0</v>
      </c>
    </row>
    <row r="292" spans="1:17" ht="12.75" hidden="1" outlineLevel="3">
      <c r="A292" s="64"/>
      <c r="B292" s="112" t="s">
        <v>39</v>
      </c>
      <c r="C292" s="55"/>
      <c r="D292" s="55"/>
      <c r="E292" s="11" t="s">
        <v>3</v>
      </c>
      <c r="F292" s="56">
        <f t="shared" si="70"/>
        <v>0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57">
        <f t="shared" si="71"/>
        <v>0</v>
      </c>
      <c r="Q292" s="18">
        <f t="shared" si="79"/>
        <v>0</v>
      </c>
    </row>
    <row r="293" spans="1:17" ht="26.25" hidden="1" outlineLevel="3">
      <c r="A293" s="64"/>
      <c r="B293" s="112" t="s">
        <v>35</v>
      </c>
      <c r="C293" s="55"/>
      <c r="D293" s="55"/>
      <c r="E293" s="11" t="s">
        <v>3</v>
      </c>
      <c r="F293" s="56">
        <f t="shared" si="70"/>
        <v>0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57">
        <f t="shared" si="71"/>
        <v>0</v>
      </c>
      <c r="Q293" s="18">
        <f t="shared" si="79"/>
        <v>0</v>
      </c>
    </row>
    <row r="294" spans="1:17" ht="12.75" hidden="1" outlineLevel="3">
      <c r="A294" s="64"/>
      <c r="B294" s="112" t="s">
        <v>40</v>
      </c>
      <c r="C294" s="55"/>
      <c r="D294" s="55"/>
      <c r="E294" s="11" t="s">
        <v>3</v>
      </c>
      <c r="F294" s="56">
        <f t="shared" si="70"/>
        <v>0</v>
      </c>
      <c r="G294" s="14"/>
      <c r="H294" s="14"/>
      <c r="I294" s="14"/>
      <c r="J294" s="14"/>
      <c r="K294" s="14"/>
      <c r="L294" s="14"/>
      <c r="M294" s="14"/>
      <c r="N294" s="14"/>
      <c r="O294" s="14"/>
      <c r="P294" s="57">
        <f t="shared" si="71"/>
        <v>0</v>
      </c>
      <c r="Q294" s="18">
        <f t="shared" si="79"/>
        <v>0</v>
      </c>
    </row>
    <row r="295" spans="1:17" ht="12.75" hidden="1" outlineLevel="3">
      <c r="A295" s="64"/>
      <c r="B295" s="112" t="s">
        <v>44</v>
      </c>
      <c r="C295" s="55"/>
      <c r="D295" s="55"/>
      <c r="E295" s="11" t="s">
        <v>5</v>
      </c>
      <c r="F295" s="56">
        <f t="shared" si="70"/>
        <v>0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57">
        <f t="shared" si="71"/>
        <v>0</v>
      </c>
      <c r="Q295" s="18">
        <f t="shared" si="79"/>
        <v>0</v>
      </c>
    </row>
    <row r="296" spans="1:17" ht="45.75" customHeight="1" hidden="1" outlineLevel="3">
      <c r="A296" s="64"/>
      <c r="B296" s="112" t="s">
        <v>42</v>
      </c>
      <c r="C296" s="55"/>
      <c r="D296" s="55"/>
      <c r="E296" s="11" t="s">
        <v>4</v>
      </c>
      <c r="F296" s="56">
        <f t="shared" si="70"/>
        <v>0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57">
        <f t="shared" si="71"/>
        <v>0</v>
      </c>
      <c r="Q296" s="18">
        <f t="shared" si="79"/>
        <v>0</v>
      </c>
    </row>
    <row r="297" spans="1:17" ht="52.5" hidden="1" outlineLevel="3">
      <c r="A297" s="64"/>
      <c r="B297" s="112" t="s">
        <v>43</v>
      </c>
      <c r="C297" s="55"/>
      <c r="D297" s="55"/>
      <c r="E297" s="11" t="s">
        <v>7</v>
      </c>
      <c r="F297" s="56">
        <f t="shared" si="70"/>
        <v>0</v>
      </c>
      <c r="G297" s="14"/>
      <c r="H297" s="14"/>
      <c r="I297" s="14"/>
      <c r="J297" s="14"/>
      <c r="K297" s="14"/>
      <c r="L297" s="14"/>
      <c r="M297" s="14"/>
      <c r="N297" s="14"/>
      <c r="O297" s="14"/>
      <c r="P297" s="57">
        <f t="shared" si="71"/>
        <v>0</v>
      </c>
      <c r="Q297" s="18">
        <f t="shared" si="79"/>
        <v>0</v>
      </c>
    </row>
    <row r="298" spans="1:17" ht="26.25" hidden="1" outlineLevel="3">
      <c r="A298" s="64"/>
      <c r="B298" s="112" t="s">
        <v>27</v>
      </c>
      <c r="C298" s="55"/>
      <c r="D298" s="55"/>
      <c r="E298" s="11" t="s">
        <v>4</v>
      </c>
      <c r="F298" s="56">
        <f t="shared" si="70"/>
        <v>0</v>
      </c>
      <c r="G298" s="14"/>
      <c r="H298" s="14"/>
      <c r="I298" s="14"/>
      <c r="J298" s="14"/>
      <c r="K298" s="14"/>
      <c r="L298" s="14"/>
      <c r="M298" s="14"/>
      <c r="N298" s="14"/>
      <c r="O298" s="14"/>
      <c r="P298" s="57">
        <f t="shared" si="71"/>
        <v>0</v>
      </c>
      <c r="Q298" s="18">
        <f t="shared" si="79"/>
        <v>0</v>
      </c>
    </row>
    <row r="299" spans="1:17" ht="18.75" customHeight="1" hidden="1" outlineLevel="3">
      <c r="A299" s="64"/>
      <c r="B299" s="112" t="s">
        <v>26</v>
      </c>
      <c r="C299" s="55"/>
      <c r="D299" s="55"/>
      <c r="E299" s="11" t="s">
        <v>3</v>
      </c>
      <c r="F299" s="56">
        <f t="shared" si="70"/>
        <v>0</v>
      </c>
      <c r="G299" s="14"/>
      <c r="H299" s="14"/>
      <c r="I299" s="14"/>
      <c r="J299" s="14"/>
      <c r="K299" s="14"/>
      <c r="L299" s="14"/>
      <c r="M299" s="14"/>
      <c r="N299" s="14"/>
      <c r="O299" s="14"/>
      <c r="P299" s="57">
        <f t="shared" si="71"/>
        <v>0</v>
      </c>
      <c r="Q299" s="18">
        <f t="shared" si="79"/>
        <v>0</v>
      </c>
    </row>
    <row r="300" spans="1:17" ht="26.25" hidden="1" outlineLevel="3">
      <c r="A300" s="64"/>
      <c r="B300" s="112" t="s">
        <v>36</v>
      </c>
      <c r="C300" s="55"/>
      <c r="D300" s="55"/>
      <c r="E300" s="11" t="s">
        <v>8</v>
      </c>
      <c r="F300" s="56">
        <f t="shared" si="70"/>
        <v>0</v>
      </c>
      <c r="G300" s="14"/>
      <c r="H300" s="14"/>
      <c r="I300" s="14"/>
      <c r="J300" s="14"/>
      <c r="K300" s="14"/>
      <c r="L300" s="14"/>
      <c r="M300" s="14"/>
      <c r="N300" s="14"/>
      <c r="O300" s="14"/>
      <c r="P300" s="57">
        <f t="shared" si="71"/>
        <v>0</v>
      </c>
      <c r="Q300" s="18">
        <f t="shared" si="79"/>
        <v>0</v>
      </c>
    </row>
    <row r="301" spans="1:17" ht="12.75" hidden="1" outlineLevel="3">
      <c r="A301" s="64"/>
      <c r="B301" s="112" t="s">
        <v>51</v>
      </c>
      <c r="C301" s="55"/>
      <c r="D301" s="55"/>
      <c r="E301" s="11" t="s">
        <v>8</v>
      </c>
      <c r="F301" s="56">
        <f t="shared" si="70"/>
        <v>0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57">
        <f t="shared" si="71"/>
        <v>0</v>
      </c>
      <c r="Q301" s="18">
        <f t="shared" si="79"/>
        <v>0</v>
      </c>
    </row>
    <row r="302" spans="1:17" ht="12.75" hidden="1" outlineLevel="3">
      <c r="A302" s="64"/>
      <c r="B302" s="112" t="s">
        <v>52</v>
      </c>
      <c r="C302" s="55"/>
      <c r="D302" s="55"/>
      <c r="E302" s="11" t="s">
        <v>8</v>
      </c>
      <c r="F302" s="56">
        <f t="shared" si="70"/>
        <v>0</v>
      </c>
      <c r="G302" s="14"/>
      <c r="H302" s="14"/>
      <c r="I302" s="14"/>
      <c r="J302" s="14"/>
      <c r="K302" s="14"/>
      <c r="L302" s="14"/>
      <c r="M302" s="14"/>
      <c r="N302" s="14"/>
      <c r="O302" s="14"/>
      <c r="P302" s="57">
        <f t="shared" si="71"/>
        <v>0</v>
      </c>
      <c r="Q302" s="18">
        <f t="shared" si="79"/>
        <v>0</v>
      </c>
    </row>
    <row r="303" spans="1:17" ht="12.75" hidden="1" outlineLevel="3">
      <c r="A303" s="64"/>
      <c r="B303" s="112" t="s">
        <v>48</v>
      </c>
      <c r="C303" s="55"/>
      <c r="D303" s="55"/>
      <c r="E303" s="11" t="s">
        <v>8</v>
      </c>
      <c r="F303" s="56">
        <f t="shared" si="70"/>
        <v>0</v>
      </c>
      <c r="G303" s="14"/>
      <c r="H303" s="14"/>
      <c r="I303" s="14"/>
      <c r="J303" s="14"/>
      <c r="K303" s="14"/>
      <c r="L303" s="14"/>
      <c r="M303" s="14"/>
      <c r="N303" s="14"/>
      <c r="O303" s="14"/>
      <c r="P303" s="57">
        <f t="shared" si="71"/>
        <v>0</v>
      </c>
      <c r="Q303" s="18">
        <f t="shared" si="79"/>
        <v>0</v>
      </c>
    </row>
    <row r="304" spans="1:17" ht="26.25" hidden="1" outlineLevel="3">
      <c r="A304" s="64"/>
      <c r="B304" s="112" t="s">
        <v>50</v>
      </c>
      <c r="C304" s="55"/>
      <c r="D304" s="55"/>
      <c r="E304" s="11" t="s">
        <v>8</v>
      </c>
      <c r="F304" s="56">
        <f t="shared" si="70"/>
        <v>0</v>
      </c>
      <c r="G304" s="14"/>
      <c r="H304" s="14"/>
      <c r="I304" s="14"/>
      <c r="J304" s="14"/>
      <c r="K304" s="14"/>
      <c r="L304" s="14"/>
      <c r="M304" s="14"/>
      <c r="N304" s="14"/>
      <c r="O304" s="14"/>
      <c r="P304" s="57">
        <f t="shared" si="71"/>
        <v>0</v>
      </c>
      <c r="Q304" s="18">
        <f t="shared" si="79"/>
        <v>0</v>
      </c>
    </row>
    <row r="305" spans="1:17" ht="39" hidden="1" outlineLevel="3">
      <c r="A305" s="64"/>
      <c r="B305" s="112" t="s">
        <v>49</v>
      </c>
      <c r="C305" s="55"/>
      <c r="D305" s="55"/>
      <c r="E305" s="11" t="s">
        <v>8</v>
      </c>
      <c r="F305" s="56">
        <f t="shared" si="70"/>
        <v>0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57">
        <f t="shared" si="71"/>
        <v>0</v>
      </c>
      <c r="Q305" s="18">
        <f t="shared" si="79"/>
        <v>0</v>
      </c>
    </row>
    <row r="306" spans="1:17" ht="35.25" customHeight="1" hidden="1" outlineLevel="3">
      <c r="A306" s="64"/>
      <c r="B306" s="112" t="s">
        <v>47</v>
      </c>
      <c r="C306" s="55"/>
      <c r="D306" s="55"/>
      <c r="E306" s="11" t="s">
        <v>3</v>
      </c>
      <c r="F306" s="56">
        <f t="shared" si="70"/>
        <v>0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57">
        <f t="shared" si="71"/>
        <v>0</v>
      </c>
      <c r="Q306" s="18">
        <f t="shared" si="79"/>
        <v>0</v>
      </c>
    </row>
    <row r="307" spans="1:17" ht="35.25" customHeight="1" hidden="1" outlineLevel="3">
      <c r="A307" s="64"/>
      <c r="B307" s="112" t="s">
        <v>53</v>
      </c>
      <c r="C307" s="55"/>
      <c r="D307" s="55"/>
      <c r="E307" s="11" t="s">
        <v>3</v>
      </c>
      <c r="F307" s="56">
        <f aca="true" t="shared" si="86" ref="F307:F362">G307+H307+I307+J307+K307+L307+M307+N307+O307</f>
        <v>0</v>
      </c>
      <c r="G307" s="14"/>
      <c r="H307" s="14"/>
      <c r="I307" s="14"/>
      <c r="J307" s="14"/>
      <c r="K307" s="14"/>
      <c r="L307" s="14"/>
      <c r="M307" s="14"/>
      <c r="N307" s="14"/>
      <c r="O307" s="14"/>
      <c r="P307" s="57">
        <f aca="true" t="shared" si="87" ref="P307:P362">L307+K307+J307+I307+H307+G307-F307</f>
        <v>0</v>
      </c>
      <c r="Q307" s="18">
        <f t="shared" si="79"/>
        <v>0</v>
      </c>
    </row>
    <row r="308" spans="1:17" ht="35.25" customHeight="1" hidden="1" outlineLevel="3">
      <c r="A308" s="64"/>
      <c r="B308" s="112" t="s">
        <v>278</v>
      </c>
      <c r="C308" s="55"/>
      <c r="D308" s="55"/>
      <c r="E308" s="11" t="s">
        <v>3</v>
      </c>
      <c r="F308" s="56">
        <f t="shared" si="86"/>
        <v>0</v>
      </c>
      <c r="G308" s="14"/>
      <c r="H308" s="14"/>
      <c r="I308" s="14"/>
      <c r="J308" s="14"/>
      <c r="K308" s="14"/>
      <c r="L308" s="14"/>
      <c r="M308" s="14"/>
      <c r="N308" s="14"/>
      <c r="O308" s="14"/>
      <c r="P308" s="57">
        <f t="shared" si="87"/>
        <v>0</v>
      </c>
      <c r="Q308" s="18">
        <f t="shared" si="79"/>
        <v>0</v>
      </c>
    </row>
    <row r="309" spans="1:17" ht="33" customHeight="1" hidden="1" outlineLevel="3">
      <c r="A309" s="123" t="s">
        <v>111</v>
      </c>
      <c r="B309" s="136" t="s">
        <v>63</v>
      </c>
      <c r="C309" s="55" t="s">
        <v>56</v>
      </c>
      <c r="D309" s="63" t="s">
        <v>61</v>
      </c>
      <c r="E309" s="11" t="s">
        <v>244</v>
      </c>
      <c r="F309" s="56">
        <f t="shared" si="86"/>
        <v>6940.400000000001</v>
      </c>
      <c r="G309" s="14">
        <f aca="true" t="shared" si="88" ref="G309:L310">G310</f>
        <v>780</v>
      </c>
      <c r="H309" s="14">
        <f t="shared" si="88"/>
        <v>1433.9</v>
      </c>
      <c r="I309" s="14">
        <f t="shared" si="88"/>
        <v>1686.6</v>
      </c>
      <c r="J309" s="14">
        <f t="shared" si="88"/>
        <v>1301.7</v>
      </c>
      <c r="K309" s="14">
        <f t="shared" si="88"/>
        <v>869.1</v>
      </c>
      <c r="L309" s="14">
        <f t="shared" si="88"/>
        <v>869.1</v>
      </c>
      <c r="M309" s="14"/>
      <c r="N309" s="14"/>
      <c r="O309" s="14"/>
      <c r="P309" s="57">
        <f t="shared" si="87"/>
        <v>0</v>
      </c>
      <c r="Q309" s="18">
        <f t="shared" si="79"/>
        <v>0</v>
      </c>
    </row>
    <row r="310" spans="1:17" ht="36" customHeight="1" hidden="1" outlineLevel="3">
      <c r="A310" s="124"/>
      <c r="B310" s="140"/>
      <c r="C310" s="55" t="s">
        <v>56</v>
      </c>
      <c r="D310" s="63" t="s">
        <v>61</v>
      </c>
      <c r="E310" s="11" t="s">
        <v>225</v>
      </c>
      <c r="F310" s="56">
        <f t="shared" si="86"/>
        <v>6940.400000000001</v>
      </c>
      <c r="G310" s="14">
        <f t="shared" si="88"/>
        <v>780</v>
      </c>
      <c r="H310" s="14">
        <f t="shared" si="88"/>
        <v>1433.9</v>
      </c>
      <c r="I310" s="14">
        <f t="shared" si="88"/>
        <v>1686.6</v>
      </c>
      <c r="J310" s="14">
        <f t="shared" si="88"/>
        <v>1301.7</v>
      </c>
      <c r="K310" s="14">
        <f t="shared" si="88"/>
        <v>869.1</v>
      </c>
      <c r="L310" s="14">
        <f t="shared" si="88"/>
        <v>869.1</v>
      </c>
      <c r="M310" s="14"/>
      <c r="N310" s="14"/>
      <c r="O310" s="14"/>
      <c r="P310" s="57">
        <f t="shared" si="87"/>
        <v>0</v>
      </c>
      <c r="Q310" s="18">
        <f t="shared" si="79"/>
        <v>0</v>
      </c>
    </row>
    <row r="311" spans="1:17" ht="51" customHeight="1" hidden="1" outlineLevel="3">
      <c r="A311" s="64" t="s">
        <v>112</v>
      </c>
      <c r="B311" s="55" t="s">
        <v>241</v>
      </c>
      <c r="C311" s="55" t="s">
        <v>56</v>
      </c>
      <c r="D311" s="63" t="s">
        <v>61</v>
      </c>
      <c r="E311" s="11" t="s">
        <v>8</v>
      </c>
      <c r="F311" s="56">
        <f t="shared" si="86"/>
        <v>6940.400000000001</v>
      </c>
      <c r="G311" s="14">
        <f>844.6-64.6</f>
        <v>780</v>
      </c>
      <c r="H311" s="14">
        <v>1433.9</v>
      </c>
      <c r="I311" s="14">
        <v>1686.6</v>
      </c>
      <c r="J311" s="14">
        <f>1103.2+198.5</f>
        <v>1301.7</v>
      </c>
      <c r="K311" s="14">
        <v>869.1</v>
      </c>
      <c r="L311" s="14">
        <v>869.1</v>
      </c>
      <c r="M311" s="14"/>
      <c r="N311" s="14"/>
      <c r="O311" s="14"/>
      <c r="P311" s="57">
        <f t="shared" si="87"/>
        <v>0</v>
      </c>
      <c r="Q311" s="18">
        <f t="shared" si="79"/>
        <v>0</v>
      </c>
    </row>
    <row r="312" spans="1:17" ht="15" customHeight="1" hidden="1" outlineLevel="3">
      <c r="A312" s="64"/>
      <c r="B312" s="55"/>
      <c r="C312" s="55"/>
      <c r="D312" s="55"/>
      <c r="E312" s="11"/>
      <c r="F312" s="56">
        <f t="shared" si="86"/>
        <v>0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57">
        <f t="shared" si="87"/>
        <v>0</v>
      </c>
      <c r="Q312" s="18">
        <f t="shared" si="79"/>
        <v>0</v>
      </c>
    </row>
    <row r="313" spans="1:17" ht="33" customHeight="1" outlineLevel="3">
      <c r="A313" s="123" t="s">
        <v>253</v>
      </c>
      <c r="B313" s="136" t="s">
        <v>477</v>
      </c>
      <c r="C313" s="55" t="s">
        <v>56</v>
      </c>
      <c r="D313" s="55" t="s">
        <v>113</v>
      </c>
      <c r="E313" s="11" t="s">
        <v>244</v>
      </c>
      <c r="F313" s="56">
        <f t="shared" si="86"/>
        <v>476771</v>
      </c>
      <c r="G313" s="14">
        <f>G314+G325+G327</f>
        <v>89142.19999999998</v>
      </c>
      <c r="H313" s="14">
        <f aca="true" t="shared" si="89" ref="H313:O313">H314+H325+H327</f>
        <v>8196.3</v>
      </c>
      <c r="I313" s="14">
        <f t="shared" si="89"/>
        <v>657.3999999999995</v>
      </c>
      <c r="J313" s="14">
        <f t="shared" si="89"/>
        <v>13901.900000000001</v>
      </c>
      <c r="K313" s="14">
        <f t="shared" si="89"/>
        <v>13721.3</v>
      </c>
      <c r="L313" s="14">
        <f t="shared" si="89"/>
        <v>121695.3</v>
      </c>
      <c r="M313" s="14">
        <f t="shared" si="89"/>
        <v>229456.6</v>
      </c>
      <c r="N313" s="14">
        <f t="shared" si="89"/>
        <v>0</v>
      </c>
      <c r="O313" s="14">
        <f t="shared" si="89"/>
        <v>0</v>
      </c>
      <c r="P313" s="57">
        <f t="shared" si="87"/>
        <v>-229456.60000000003</v>
      </c>
      <c r="Q313" s="18">
        <f t="shared" si="79"/>
        <v>0</v>
      </c>
    </row>
    <row r="314" spans="1:18" ht="33" customHeight="1" outlineLevel="3">
      <c r="A314" s="129"/>
      <c r="B314" s="137"/>
      <c r="C314" s="55" t="s">
        <v>56</v>
      </c>
      <c r="D314" s="55" t="s">
        <v>113</v>
      </c>
      <c r="E314" s="76" t="s">
        <v>229</v>
      </c>
      <c r="F314" s="56">
        <f t="shared" si="86"/>
        <v>135995.19999999998</v>
      </c>
      <c r="G314" s="14">
        <f>G329+G332+G337+G342+G344+G346+G358+G349+G353+G371</f>
        <v>89142.19999999998</v>
      </c>
      <c r="H314" s="14">
        <f aca="true" t="shared" si="90" ref="H314:O314">H329+H332+H337+H342+H344+H346+H358+H349+H353+H371</f>
        <v>8196.3</v>
      </c>
      <c r="I314" s="14">
        <f t="shared" si="90"/>
        <v>657.3999999999995</v>
      </c>
      <c r="J314" s="14">
        <f t="shared" si="90"/>
        <v>13901.900000000001</v>
      </c>
      <c r="K314" s="14">
        <f t="shared" si="90"/>
        <v>13721.3</v>
      </c>
      <c r="L314" s="14">
        <f t="shared" si="90"/>
        <v>5919.5</v>
      </c>
      <c r="M314" s="14">
        <f t="shared" si="90"/>
        <v>4456.6</v>
      </c>
      <c r="N314" s="14">
        <f t="shared" si="90"/>
        <v>0</v>
      </c>
      <c r="O314" s="14">
        <f t="shared" si="90"/>
        <v>0</v>
      </c>
      <c r="P314" s="57">
        <f t="shared" si="87"/>
        <v>-4456.600000000006</v>
      </c>
      <c r="Q314" s="107">
        <v>30572.1</v>
      </c>
      <c r="R314" s="108">
        <v>57364.1</v>
      </c>
    </row>
    <row r="315" spans="1:17" ht="33" customHeight="1" hidden="1" outlineLevel="3">
      <c r="A315" s="129"/>
      <c r="B315" s="137"/>
      <c r="C315" s="55"/>
      <c r="D315" s="55" t="s">
        <v>113</v>
      </c>
      <c r="E315" s="11"/>
      <c r="F315" s="56">
        <f t="shared" si="86"/>
        <v>0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57">
        <f t="shared" si="87"/>
        <v>0</v>
      </c>
      <c r="Q315" s="18">
        <f t="shared" si="79"/>
        <v>0</v>
      </c>
    </row>
    <row r="316" spans="1:17" ht="15.75" customHeight="1" hidden="1" outlineLevel="3">
      <c r="A316" s="129"/>
      <c r="B316" s="137"/>
      <c r="C316" s="55"/>
      <c r="D316" s="55" t="s">
        <v>113</v>
      </c>
      <c r="E316" s="11"/>
      <c r="F316" s="56">
        <f t="shared" si="86"/>
        <v>0</v>
      </c>
      <c r="G316" s="14"/>
      <c r="H316" s="14"/>
      <c r="I316" s="14"/>
      <c r="J316" s="14"/>
      <c r="K316" s="14"/>
      <c r="L316" s="14"/>
      <c r="M316" s="14"/>
      <c r="N316" s="14"/>
      <c r="O316" s="14"/>
      <c r="P316" s="57">
        <f t="shared" si="87"/>
        <v>0</v>
      </c>
      <c r="Q316" s="18">
        <f t="shared" si="79"/>
        <v>0</v>
      </c>
    </row>
    <row r="317" spans="1:17" ht="15.75" customHeight="1" hidden="1" outlineLevel="3">
      <c r="A317" s="129"/>
      <c r="B317" s="137"/>
      <c r="C317" s="55"/>
      <c r="D317" s="55" t="s">
        <v>113</v>
      </c>
      <c r="E317" s="11"/>
      <c r="F317" s="56">
        <f t="shared" si="86"/>
        <v>0</v>
      </c>
      <c r="G317" s="14"/>
      <c r="H317" s="14"/>
      <c r="I317" s="14"/>
      <c r="J317" s="14"/>
      <c r="K317" s="14"/>
      <c r="L317" s="14"/>
      <c r="M317" s="14"/>
      <c r="N317" s="14"/>
      <c r="O317" s="14"/>
      <c r="P317" s="57">
        <f t="shared" si="87"/>
        <v>0</v>
      </c>
      <c r="Q317" s="18">
        <f t="shared" si="79"/>
        <v>0</v>
      </c>
    </row>
    <row r="318" spans="1:17" ht="15.75" customHeight="1" hidden="1" outlineLevel="3">
      <c r="A318" s="129"/>
      <c r="B318" s="137"/>
      <c r="C318" s="55"/>
      <c r="D318" s="55" t="s">
        <v>113</v>
      </c>
      <c r="E318" s="11"/>
      <c r="F318" s="56">
        <f t="shared" si="86"/>
        <v>0</v>
      </c>
      <c r="G318" s="14"/>
      <c r="H318" s="14"/>
      <c r="I318" s="14"/>
      <c r="J318" s="14"/>
      <c r="K318" s="14"/>
      <c r="L318" s="14"/>
      <c r="M318" s="14"/>
      <c r="N318" s="14"/>
      <c r="O318" s="14"/>
      <c r="P318" s="57">
        <f t="shared" si="87"/>
        <v>0</v>
      </c>
      <c r="Q318" s="18">
        <f t="shared" si="79"/>
        <v>0</v>
      </c>
    </row>
    <row r="319" spans="1:17" ht="15.75" customHeight="1" hidden="1" outlineLevel="3">
      <c r="A319" s="129"/>
      <c r="B319" s="137"/>
      <c r="C319" s="55"/>
      <c r="D319" s="55" t="s">
        <v>113</v>
      </c>
      <c r="E319" s="11"/>
      <c r="F319" s="56">
        <f t="shared" si="86"/>
        <v>0</v>
      </c>
      <c r="G319" s="14"/>
      <c r="H319" s="14"/>
      <c r="I319" s="14"/>
      <c r="J319" s="14"/>
      <c r="K319" s="14"/>
      <c r="L319" s="14"/>
      <c r="M319" s="14"/>
      <c r="N319" s="14"/>
      <c r="O319" s="14"/>
      <c r="P319" s="57">
        <f t="shared" si="87"/>
        <v>0</v>
      </c>
      <c r="Q319" s="18">
        <f t="shared" si="79"/>
        <v>0</v>
      </c>
    </row>
    <row r="320" spans="1:17" ht="15.75" customHeight="1" hidden="1" outlineLevel="3">
      <c r="A320" s="129"/>
      <c r="B320" s="137"/>
      <c r="C320" s="55"/>
      <c r="D320" s="55" t="s">
        <v>113</v>
      </c>
      <c r="E320" s="11"/>
      <c r="F320" s="56">
        <f t="shared" si="86"/>
        <v>0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57">
        <f t="shared" si="87"/>
        <v>0</v>
      </c>
      <c r="Q320" s="18">
        <f t="shared" si="79"/>
        <v>0</v>
      </c>
    </row>
    <row r="321" spans="1:17" ht="15.75" customHeight="1" hidden="1" outlineLevel="3">
      <c r="A321" s="129"/>
      <c r="B321" s="137"/>
      <c r="C321" s="55"/>
      <c r="D321" s="55" t="s">
        <v>113</v>
      </c>
      <c r="E321" s="11"/>
      <c r="F321" s="56">
        <f t="shared" si="86"/>
        <v>0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57">
        <f t="shared" si="87"/>
        <v>0</v>
      </c>
      <c r="Q321" s="18">
        <f t="shared" si="79"/>
        <v>0</v>
      </c>
    </row>
    <row r="322" spans="1:17" ht="15.75" customHeight="1" hidden="1" outlineLevel="3">
      <c r="A322" s="129"/>
      <c r="B322" s="137"/>
      <c r="C322" s="55"/>
      <c r="D322" s="55" t="s">
        <v>113</v>
      </c>
      <c r="E322" s="11"/>
      <c r="F322" s="56">
        <f t="shared" si="86"/>
        <v>0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57">
        <f t="shared" si="87"/>
        <v>0</v>
      </c>
      <c r="Q322" s="18">
        <f t="shared" si="79"/>
        <v>0</v>
      </c>
    </row>
    <row r="323" spans="1:17" ht="15.75" customHeight="1" hidden="1" outlineLevel="3">
      <c r="A323" s="129"/>
      <c r="B323" s="137"/>
      <c r="C323" s="55"/>
      <c r="D323" s="55" t="s">
        <v>113</v>
      </c>
      <c r="E323" s="11"/>
      <c r="F323" s="56">
        <f t="shared" si="86"/>
        <v>0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57">
        <f t="shared" si="87"/>
        <v>0</v>
      </c>
      <c r="Q323" s="18">
        <f t="shared" si="79"/>
        <v>0</v>
      </c>
    </row>
    <row r="324" spans="1:17" ht="15.75" customHeight="1" hidden="1" outlineLevel="3">
      <c r="A324" s="129"/>
      <c r="B324" s="137"/>
      <c r="C324" s="55"/>
      <c r="D324" s="55" t="s">
        <v>113</v>
      </c>
      <c r="E324" s="11"/>
      <c r="F324" s="56">
        <f t="shared" si="86"/>
        <v>0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57">
        <f t="shared" si="87"/>
        <v>0</v>
      </c>
      <c r="Q324" s="18">
        <f aca="true" t="shared" si="91" ref="Q324:Q391">O324+N324+M324+L324+K324+J324+I324+H324+G324-F324</f>
        <v>0</v>
      </c>
    </row>
    <row r="325" spans="1:17" ht="50.25" customHeight="1" hidden="1" outlineLevel="3">
      <c r="A325" s="129"/>
      <c r="B325" s="137"/>
      <c r="C325" s="55" t="s">
        <v>56</v>
      </c>
      <c r="D325" s="55" t="s">
        <v>113</v>
      </c>
      <c r="E325" s="11" t="s">
        <v>230</v>
      </c>
      <c r="F325" s="56">
        <f t="shared" si="86"/>
        <v>0</v>
      </c>
      <c r="G325" s="14">
        <f aca="true" t="shared" si="92" ref="G325:O325">G350</f>
        <v>0</v>
      </c>
      <c r="H325" s="14">
        <f t="shared" si="92"/>
        <v>0</v>
      </c>
      <c r="I325" s="14">
        <f t="shared" si="92"/>
        <v>0</v>
      </c>
      <c r="J325" s="14">
        <f t="shared" si="92"/>
        <v>0</v>
      </c>
      <c r="K325" s="14">
        <f t="shared" si="92"/>
        <v>0</v>
      </c>
      <c r="L325" s="14">
        <f t="shared" si="92"/>
        <v>0</v>
      </c>
      <c r="M325" s="14">
        <f t="shared" si="92"/>
        <v>0</v>
      </c>
      <c r="N325" s="14">
        <f t="shared" si="92"/>
        <v>0</v>
      </c>
      <c r="O325" s="14">
        <f t="shared" si="92"/>
        <v>0</v>
      </c>
      <c r="P325" s="57">
        <f t="shared" si="87"/>
        <v>0</v>
      </c>
      <c r="Q325" s="18">
        <f t="shared" si="91"/>
        <v>0</v>
      </c>
    </row>
    <row r="326" spans="1:17" ht="50.25" customHeight="1" hidden="1" outlineLevel="3">
      <c r="A326" s="124"/>
      <c r="B326" s="140"/>
      <c r="C326" s="55" t="s">
        <v>56</v>
      </c>
      <c r="D326" s="55" t="s">
        <v>113</v>
      </c>
      <c r="E326" s="11" t="s">
        <v>514</v>
      </c>
      <c r="F326" s="56">
        <f t="shared" si="86"/>
        <v>0</v>
      </c>
      <c r="G326" s="14">
        <f aca="true" t="shared" si="93" ref="G326:O326">G351</f>
        <v>0</v>
      </c>
      <c r="H326" s="14">
        <f t="shared" si="93"/>
        <v>0</v>
      </c>
      <c r="I326" s="14">
        <f t="shared" si="93"/>
        <v>0</v>
      </c>
      <c r="J326" s="14">
        <f t="shared" si="93"/>
        <v>0</v>
      </c>
      <c r="K326" s="14">
        <f t="shared" si="93"/>
        <v>0</v>
      </c>
      <c r="L326" s="14">
        <f t="shared" si="93"/>
        <v>0</v>
      </c>
      <c r="M326" s="14">
        <f t="shared" si="93"/>
        <v>0</v>
      </c>
      <c r="N326" s="14">
        <f t="shared" si="93"/>
        <v>0</v>
      </c>
      <c r="O326" s="14">
        <f t="shared" si="93"/>
        <v>0</v>
      </c>
      <c r="P326" s="57"/>
      <c r="Q326" s="18">
        <f t="shared" si="91"/>
        <v>0</v>
      </c>
    </row>
    <row r="327" spans="1:17" ht="30" customHeight="1" outlineLevel="3">
      <c r="A327" s="115"/>
      <c r="B327" s="118"/>
      <c r="C327" s="55" t="s">
        <v>56</v>
      </c>
      <c r="D327" s="55" t="s">
        <v>113</v>
      </c>
      <c r="E327" s="117" t="s">
        <v>230</v>
      </c>
      <c r="F327" s="56">
        <f t="shared" si="86"/>
        <v>340775.8</v>
      </c>
      <c r="G327" s="14">
        <f>G372</f>
        <v>0</v>
      </c>
      <c r="H327" s="14">
        <f aca="true" t="shared" si="94" ref="H327:O327">H372</f>
        <v>0</v>
      </c>
      <c r="I327" s="14">
        <f t="shared" si="94"/>
        <v>0</v>
      </c>
      <c r="J327" s="14">
        <f t="shared" si="94"/>
        <v>0</v>
      </c>
      <c r="K327" s="14">
        <f t="shared" si="94"/>
        <v>0</v>
      </c>
      <c r="L327" s="14">
        <f t="shared" si="94"/>
        <v>115775.8</v>
      </c>
      <c r="M327" s="14">
        <f t="shared" si="94"/>
        <v>225000</v>
      </c>
      <c r="N327" s="14">
        <f t="shared" si="94"/>
        <v>0</v>
      </c>
      <c r="O327" s="14">
        <f t="shared" si="94"/>
        <v>0</v>
      </c>
      <c r="P327" s="57"/>
      <c r="Q327" s="18"/>
    </row>
    <row r="328" spans="1:17" ht="44.25" customHeight="1" outlineLevel="3">
      <c r="A328" s="123" t="s">
        <v>254</v>
      </c>
      <c r="B328" s="136" t="s">
        <v>601</v>
      </c>
      <c r="C328" s="55" t="s">
        <v>56</v>
      </c>
      <c r="D328" s="55" t="s">
        <v>115</v>
      </c>
      <c r="E328" s="11" t="s">
        <v>244</v>
      </c>
      <c r="F328" s="56">
        <f t="shared" si="86"/>
        <v>98110.5</v>
      </c>
      <c r="G328" s="14">
        <f aca="true" t="shared" si="95" ref="G328:O328">G329</f>
        <v>82058.29999999999</v>
      </c>
      <c r="H328" s="14">
        <f>H329</f>
        <v>5680.3</v>
      </c>
      <c r="I328" s="14">
        <f t="shared" si="95"/>
        <v>640.9999999999995</v>
      </c>
      <c r="J328" s="14">
        <f t="shared" si="95"/>
        <v>5073.8</v>
      </c>
      <c r="K328" s="14">
        <f t="shared" si="95"/>
        <v>4657.1</v>
      </c>
      <c r="L328" s="14">
        <f t="shared" si="95"/>
        <v>0</v>
      </c>
      <c r="M328" s="14">
        <f t="shared" si="95"/>
        <v>0</v>
      </c>
      <c r="N328" s="14">
        <f t="shared" si="95"/>
        <v>0</v>
      </c>
      <c r="O328" s="14">
        <f t="shared" si="95"/>
        <v>0</v>
      </c>
      <c r="P328" s="57">
        <f t="shared" si="87"/>
        <v>0</v>
      </c>
      <c r="Q328" s="18">
        <f t="shared" si="91"/>
        <v>0</v>
      </c>
    </row>
    <row r="329" spans="1:17" ht="30.75" customHeight="1" outlineLevel="3">
      <c r="A329" s="124"/>
      <c r="B329" s="140"/>
      <c r="C329" s="55" t="s">
        <v>56</v>
      </c>
      <c r="D329" s="55" t="s">
        <v>115</v>
      </c>
      <c r="E329" s="11" t="s">
        <v>226</v>
      </c>
      <c r="F329" s="56">
        <f t="shared" si="86"/>
        <v>98110.5</v>
      </c>
      <c r="G329" s="14">
        <f>82157.2+14744.2+22633.4-30677.6-3177.4-3621.7+0.2</f>
        <v>82058.29999999999</v>
      </c>
      <c r="H329" s="14">
        <v>5680.3</v>
      </c>
      <c r="I329" s="14">
        <f>5947.9+180.7+138.9-4501.4-1164.6+39.5</f>
        <v>640.9999999999995</v>
      </c>
      <c r="J329" s="14">
        <v>5073.8</v>
      </c>
      <c r="K329" s="14">
        <f>4658-0.9</f>
        <v>4657.1</v>
      </c>
      <c r="L329" s="14"/>
      <c r="M329" s="14"/>
      <c r="N329" s="14">
        <v>0</v>
      </c>
      <c r="O329" s="14">
        <v>0</v>
      </c>
      <c r="P329" s="57">
        <f t="shared" si="87"/>
        <v>0</v>
      </c>
      <c r="Q329" s="18">
        <f t="shared" si="91"/>
        <v>0</v>
      </c>
    </row>
    <row r="330" spans="1:18" s="9" customFormat="1" ht="22.5" customHeight="1" hidden="1" outlineLevel="3">
      <c r="A330" s="72"/>
      <c r="B330" s="114"/>
      <c r="C330" s="55"/>
      <c r="D330" s="55"/>
      <c r="E330" s="11"/>
      <c r="F330" s="56">
        <f t="shared" si="86"/>
        <v>0</v>
      </c>
      <c r="G330" s="14"/>
      <c r="H330" s="14"/>
      <c r="I330" s="14"/>
      <c r="J330" s="14"/>
      <c r="K330" s="14"/>
      <c r="L330" s="14"/>
      <c r="M330" s="14"/>
      <c r="N330" s="14"/>
      <c r="O330" s="14"/>
      <c r="P330" s="57">
        <f t="shared" si="87"/>
        <v>0</v>
      </c>
      <c r="Q330" s="18">
        <f t="shared" si="91"/>
        <v>0</v>
      </c>
      <c r="R330" s="41"/>
    </row>
    <row r="331" spans="1:18" s="9" customFormat="1" ht="33.75" customHeight="1" hidden="1" outlineLevel="3">
      <c r="A331" s="123" t="s">
        <v>255</v>
      </c>
      <c r="B331" s="136" t="s">
        <v>240</v>
      </c>
      <c r="C331" s="55" t="s">
        <v>56</v>
      </c>
      <c r="D331" s="55" t="s">
        <v>113</v>
      </c>
      <c r="E331" s="11" t="s">
        <v>244</v>
      </c>
      <c r="F331" s="56">
        <f t="shared" si="86"/>
        <v>0</v>
      </c>
      <c r="G331" s="14">
        <f aca="true" t="shared" si="96" ref="G331:L331">G332</f>
        <v>0</v>
      </c>
      <c r="H331" s="14">
        <f t="shared" si="96"/>
        <v>0</v>
      </c>
      <c r="I331" s="14">
        <f t="shared" si="96"/>
        <v>0</v>
      </c>
      <c r="J331" s="14">
        <f t="shared" si="96"/>
        <v>0</v>
      </c>
      <c r="K331" s="14">
        <f t="shared" si="96"/>
        <v>0</v>
      </c>
      <c r="L331" s="14">
        <f t="shared" si="96"/>
        <v>0</v>
      </c>
      <c r="M331" s="14"/>
      <c r="N331" s="14"/>
      <c r="O331" s="14"/>
      <c r="P331" s="57">
        <f t="shared" si="87"/>
        <v>0</v>
      </c>
      <c r="Q331" s="18">
        <f t="shared" si="91"/>
        <v>0</v>
      </c>
      <c r="R331" s="41"/>
    </row>
    <row r="332" spans="1:18" s="9" customFormat="1" ht="24.75" customHeight="1" hidden="1" outlineLevel="3">
      <c r="A332" s="124"/>
      <c r="B332" s="140"/>
      <c r="C332" s="55" t="s">
        <v>56</v>
      </c>
      <c r="D332" s="55" t="s">
        <v>113</v>
      </c>
      <c r="E332" s="11" t="s">
        <v>226</v>
      </c>
      <c r="F332" s="56">
        <f t="shared" si="86"/>
        <v>0</v>
      </c>
      <c r="G332" s="14">
        <f aca="true" t="shared" si="97" ref="G332:L332">G333+G334</f>
        <v>0</v>
      </c>
      <c r="H332" s="14">
        <f t="shared" si="97"/>
        <v>0</v>
      </c>
      <c r="I332" s="14">
        <f t="shared" si="97"/>
        <v>0</v>
      </c>
      <c r="J332" s="14">
        <f t="shared" si="97"/>
        <v>0</v>
      </c>
      <c r="K332" s="14">
        <f t="shared" si="97"/>
        <v>0</v>
      </c>
      <c r="L332" s="14">
        <f t="shared" si="97"/>
        <v>0</v>
      </c>
      <c r="M332" s="14"/>
      <c r="N332" s="14"/>
      <c r="O332" s="14"/>
      <c r="P332" s="57">
        <f t="shared" si="87"/>
        <v>0</v>
      </c>
      <c r="Q332" s="18">
        <f t="shared" si="91"/>
        <v>0</v>
      </c>
      <c r="R332" s="41"/>
    </row>
    <row r="333" spans="1:18" s="9" customFormat="1" ht="22.5" customHeight="1" hidden="1" outlineLevel="3">
      <c r="A333" s="72" t="s">
        <v>177</v>
      </c>
      <c r="B333" s="114" t="s">
        <v>176</v>
      </c>
      <c r="C333" s="55" t="s">
        <v>56</v>
      </c>
      <c r="D333" s="55" t="s">
        <v>113</v>
      </c>
      <c r="E333" s="11" t="s">
        <v>226</v>
      </c>
      <c r="F333" s="56">
        <f t="shared" si="86"/>
        <v>0</v>
      </c>
      <c r="G333" s="14"/>
      <c r="H333" s="14"/>
      <c r="I333" s="14"/>
      <c r="J333" s="14"/>
      <c r="K333" s="14"/>
      <c r="L333" s="14"/>
      <c r="M333" s="14"/>
      <c r="N333" s="14"/>
      <c r="O333" s="14"/>
      <c r="P333" s="57">
        <f t="shared" si="87"/>
        <v>0</v>
      </c>
      <c r="Q333" s="18">
        <f t="shared" si="91"/>
        <v>0</v>
      </c>
      <c r="R333" s="41"/>
    </row>
    <row r="334" spans="1:18" s="9" customFormat="1" ht="33" customHeight="1" hidden="1" outlineLevel="3">
      <c r="A334" s="72" t="s">
        <v>178</v>
      </c>
      <c r="B334" s="114" t="s">
        <v>175</v>
      </c>
      <c r="C334" s="55" t="s">
        <v>56</v>
      </c>
      <c r="D334" s="55" t="s">
        <v>113</v>
      </c>
      <c r="E334" s="11" t="s">
        <v>226</v>
      </c>
      <c r="F334" s="56">
        <f t="shared" si="86"/>
        <v>0</v>
      </c>
      <c r="G334" s="14"/>
      <c r="H334" s="14"/>
      <c r="I334" s="14"/>
      <c r="J334" s="14"/>
      <c r="K334" s="14"/>
      <c r="L334" s="14"/>
      <c r="M334" s="14"/>
      <c r="N334" s="14"/>
      <c r="O334" s="14"/>
      <c r="P334" s="57">
        <f t="shared" si="87"/>
        <v>0</v>
      </c>
      <c r="Q334" s="18">
        <f t="shared" si="91"/>
        <v>0</v>
      </c>
      <c r="R334" s="41"/>
    </row>
    <row r="335" spans="1:18" s="9" customFormat="1" ht="22.5" customHeight="1" hidden="1" outlineLevel="3">
      <c r="A335" s="72"/>
      <c r="B335" s="114"/>
      <c r="C335" s="55"/>
      <c r="D335" s="55"/>
      <c r="E335" s="11"/>
      <c r="F335" s="56">
        <f t="shared" si="86"/>
        <v>0</v>
      </c>
      <c r="G335" s="14"/>
      <c r="H335" s="14"/>
      <c r="I335" s="14"/>
      <c r="J335" s="14"/>
      <c r="K335" s="14"/>
      <c r="L335" s="14"/>
      <c r="M335" s="14"/>
      <c r="N335" s="14"/>
      <c r="O335" s="14"/>
      <c r="P335" s="57">
        <f t="shared" si="87"/>
        <v>0</v>
      </c>
      <c r="Q335" s="18">
        <f t="shared" si="91"/>
        <v>0</v>
      </c>
      <c r="R335" s="41"/>
    </row>
    <row r="336" spans="1:18" s="9" customFormat="1" ht="31.5" customHeight="1" hidden="1" outlineLevel="3">
      <c r="A336" s="123" t="s">
        <v>256</v>
      </c>
      <c r="B336" s="136" t="s">
        <v>183</v>
      </c>
      <c r="C336" s="55" t="s">
        <v>56</v>
      </c>
      <c r="D336" s="55" t="s">
        <v>113</v>
      </c>
      <c r="E336" s="11" t="s">
        <v>244</v>
      </c>
      <c r="F336" s="56">
        <f t="shared" si="86"/>
        <v>0</v>
      </c>
      <c r="G336" s="14">
        <f aca="true" t="shared" si="98" ref="G336:L336">G337</f>
        <v>0</v>
      </c>
      <c r="H336" s="14">
        <f t="shared" si="98"/>
        <v>0</v>
      </c>
      <c r="I336" s="14">
        <f t="shared" si="98"/>
        <v>0</v>
      </c>
      <c r="J336" s="14">
        <f t="shared" si="98"/>
        <v>0</v>
      </c>
      <c r="K336" s="14">
        <f t="shared" si="98"/>
        <v>0</v>
      </c>
      <c r="L336" s="14">
        <f t="shared" si="98"/>
        <v>0</v>
      </c>
      <c r="M336" s="14"/>
      <c r="N336" s="14"/>
      <c r="O336" s="14"/>
      <c r="P336" s="57">
        <f t="shared" si="87"/>
        <v>0</v>
      </c>
      <c r="Q336" s="18">
        <f t="shared" si="91"/>
        <v>0</v>
      </c>
      <c r="R336" s="41"/>
    </row>
    <row r="337" spans="1:18" s="9" customFormat="1" ht="22.5" customHeight="1" hidden="1" outlineLevel="3">
      <c r="A337" s="124"/>
      <c r="B337" s="140"/>
      <c r="C337" s="55" t="s">
        <v>56</v>
      </c>
      <c r="D337" s="55" t="s">
        <v>113</v>
      </c>
      <c r="E337" s="11" t="s">
        <v>226</v>
      </c>
      <c r="F337" s="56">
        <f t="shared" si="86"/>
        <v>0</v>
      </c>
      <c r="G337" s="14">
        <f aca="true" t="shared" si="99" ref="G337:L337">G338+G339</f>
        <v>0</v>
      </c>
      <c r="H337" s="14">
        <f t="shared" si="99"/>
        <v>0</v>
      </c>
      <c r="I337" s="14">
        <f t="shared" si="99"/>
        <v>0</v>
      </c>
      <c r="J337" s="14">
        <f t="shared" si="99"/>
        <v>0</v>
      </c>
      <c r="K337" s="14">
        <f t="shared" si="99"/>
        <v>0</v>
      </c>
      <c r="L337" s="14">
        <f t="shared" si="99"/>
        <v>0</v>
      </c>
      <c r="M337" s="14"/>
      <c r="N337" s="14"/>
      <c r="O337" s="14"/>
      <c r="P337" s="57">
        <f t="shared" si="87"/>
        <v>0</v>
      </c>
      <c r="Q337" s="18">
        <f t="shared" si="91"/>
        <v>0</v>
      </c>
      <c r="R337" s="41"/>
    </row>
    <row r="338" spans="1:18" s="9" customFormat="1" ht="22.5" customHeight="1" hidden="1" outlineLevel="3">
      <c r="A338" s="72" t="s">
        <v>179</v>
      </c>
      <c r="B338" s="114" t="s">
        <v>176</v>
      </c>
      <c r="C338" s="55" t="s">
        <v>56</v>
      </c>
      <c r="D338" s="55" t="s">
        <v>113</v>
      </c>
      <c r="E338" s="11" t="s">
        <v>226</v>
      </c>
      <c r="F338" s="56">
        <f t="shared" si="86"/>
        <v>0</v>
      </c>
      <c r="G338" s="14"/>
      <c r="H338" s="14"/>
      <c r="I338" s="14"/>
      <c r="J338" s="14"/>
      <c r="K338" s="14"/>
      <c r="L338" s="14"/>
      <c r="M338" s="14"/>
      <c r="N338" s="14"/>
      <c r="O338" s="14"/>
      <c r="P338" s="57">
        <f t="shared" si="87"/>
        <v>0</v>
      </c>
      <c r="Q338" s="18">
        <f t="shared" si="91"/>
        <v>0</v>
      </c>
      <c r="R338" s="41"/>
    </row>
    <row r="339" spans="1:18" s="9" customFormat="1" ht="34.5" customHeight="1" hidden="1" outlineLevel="3">
      <c r="A339" s="72" t="s">
        <v>180</v>
      </c>
      <c r="B339" s="114" t="s">
        <v>181</v>
      </c>
      <c r="C339" s="55" t="s">
        <v>56</v>
      </c>
      <c r="D339" s="55" t="s">
        <v>113</v>
      </c>
      <c r="E339" s="11" t="s">
        <v>226</v>
      </c>
      <c r="F339" s="56">
        <f t="shared" si="86"/>
        <v>0</v>
      </c>
      <c r="G339" s="14"/>
      <c r="H339" s="14"/>
      <c r="I339" s="14"/>
      <c r="J339" s="14"/>
      <c r="K339" s="14"/>
      <c r="L339" s="14"/>
      <c r="M339" s="14"/>
      <c r="N339" s="14"/>
      <c r="O339" s="14"/>
      <c r="P339" s="57">
        <f t="shared" si="87"/>
        <v>0</v>
      </c>
      <c r="Q339" s="18">
        <f t="shared" si="91"/>
        <v>0</v>
      </c>
      <c r="R339" s="41"/>
    </row>
    <row r="340" spans="1:18" s="9" customFormat="1" ht="18.75" customHeight="1" hidden="1" outlineLevel="3">
      <c r="A340" s="72"/>
      <c r="B340" s="114"/>
      <c r="C340" s="55"/>
      <c r="D340" s="55"/>
      <c r="E340" s="11"/>
      <c r="F340" s="56">
        <f t="shared" si="86"/>
        <v>0</v>
      </c>
      <c r="G340" s="14"/>
      <c r="H340" s="14"/>
      <c r="I340" s="14"/>
      <c r="J340" s="14"/>
      <c r="K340" s="14"/>
      <c r="L340" s="14"/>
      <c r="M340" s="14"/>
      <c r="N340" s="14"/>
      <c r="O340" s="14"/>
      <c r="P340" s="57">
        <f t="shared" si="87"/>
        <v>0</v>
      </c>
      <c r="Q340" s="18">
        <f t="shared" si="91"/>
        <v>0</v>
      </c>
      <c r="R340" s="41"/>
    </row>
    <row r="341" spans="1:18" s="9" customFormat="1" ht="30" customHeight="1" outlineLevel="3">
      <c r="A341" s="123" t="s">
        <v>255</v>
      </c>
      <c r="B341" s="136" t="s">
        <v>580</v>
      </c>
      <c r="C341" s="55" t="s">
        <v>56</v>
      </c>
      <c r="D341" s="77" t="s">
        <v>361</v>
      </c>
      <c r="E341" s="11" t="s">
        <v>244</v>
      </c>
      <c r="F341" s="56">
        <f t="shared" si="86"/>
        <v>7298.2</v>
      </c>
      <c r="G341" s="14">
        <f aca="true" t="shared" si="100" ref="G341:N341">G342</f>
        <v>4782.2</v>
      </c>
      <c r="H341" s="14">
        <f t="shared" si="100"/>
        <v>2516</v>
      </c>
      <c r="I341" s="14">
        <f t="shared" si="100"/>
        <v>0</v>
      </c>
      <c r="J341" s="14">
        <f t="shared" si="100"/>
        <v>0</v>
      </c>
      <c r="K341" s="14">
        <f t="shared" si="100"/>
        <v>0</v>
      </c>
      <c r="L341" s="14">
        <f t="shared" si="100"/>
        <v>0</v>
      </c>
      <c r="M341" s="14">
        <f t="shared" si="100"/>
        <v>0</v>
      </c>
      <c r="N341" s="14">
        <f t="shared" si="100"/>
        <v>0</v>
      </c>
      <c r="O341" s="14">
        <v>0</v>
      </c>
      <c r="P341" s="57">
        <f t="shared" si="87"/>
        <v>0</v>
      </c>
      <c r="Q341" s="18">
        <f t="shared" si="91"/>
        <v>0</v>
      </c>
      <c r="R341" s="41"/>
    </row>
    <row r="342" spans="1:18" s="9" customFormat="1" ht="27" customHeight="1" outlineLevel="3">
      <c r="A342" s="124"/>
      <c r="B342" s="140"/>
      <c r="C342" s="55" t="s">
        <v>56</v>
      </c>
      <c r="D342" s="77" t="s">
        <v>361</v>
      </c>
      <c r="E342" s="11" t="s">
        <v>226</v>
      </c>
      <c r="F342" s="56">
        <f>G342+H342+I342+J342+K342+L342+M342+N342+O342</f>
        <v>7298.2</v>
      </c>
      <c r="G342" s="14">
        <v>4782.2</v>
      </c>
      <c r="H342" s="14">
        <v>2516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57">
        <f t="shared" si="87"/>
        <v>0</v>
      </c>
      <c r="Q342" s="18">
        <f t="shared" si="91"/>
        <v>0</v>
      </c>
      <c r="R342" s="41"/>
    </row>
    <row r="343" spans="1:18" s="9" customFormat="1" ht="46.5" customHeight="1" outlineLevel="3">
      <c r="A343" s="123" t="s">
        <v>256</v>
      </c>
      <c r="B343" s="136" t="s">
        <v>296</v>
      </c>
      <c r="C343" s="55" t="s">
        <v>56</v>
      </c>
      <c r="D343" s="77" t="s">
        <v>362</v>
      </c>
      <c r="E343" s="11" t="s">
        <v>244</v>
      </c>
      <c r="F343" s="56">
        <f t="shared" si="86"/>
        <v>1281.3</v>
      </c>
      <c r="G343" s="14">
        <f aca="true" t="shared" si="101" ref="G343:O343">G344</f>
        <v>1281.3</v>
      </c>
      <c r="H343" s="14">
        <f t="shared" si="101"/>
        <v>0</v>
      </c>
      <c r="I343" s="14">
        <f t="shared" si="101"/>
        <v>0</v>
      </c>
      <c r="J343" s="14">
        <f t="shared" si="101"/>
        <v>0</v>
      </c>
      <c r="K343" s="14">
        <f t="shared" si="101"/>
        <v>0</v>
      </c>
      <c r="L343" s="14">
        <f t="shared" si="101"/>
        <v>0</v>
      </c>
      <c r="M343" s="14">
        <f t="shared" si="101"/>
        <v>0</v>
      </c>
      <c r="N343" s="14">
        <f t="shared" si="101"/>
        <v>0</v>
      </c>
      <c r="O343" s="14">
        <f t="shared" si="101"/>
        <v>0</v>
      </c>
      <c r="P343" s="57">
        <f t="shared" si="87"/>
        <v>0</v>
      </c>
      <c r="Q343" s="18">
        <f t="shared" si="91"/>
        <v>0</v>
      </c>
      <c r="R343" s="41"/>
    </row>
    <row r="344" spans="1:18" s="9" customFormat="1" ht="38.25" customHeight="1" outlineLevel="3">
      <c r="A344" s="124"/>
      <c r="B344" s="140"/>
      <c r="C344" s="55" t="s">
        <v>56</v>
      </c>
      <c r="D344" s="77" t="s">
        <v>362</v>
      </c>
      <c r="E344" s="11" t="s">
        <v>226</v>
      </c>
      <c r="F344" s="56">
        <f t="shared" si="86"/>
        <v>1281.3</v>
      </c>
      <c r="G344" s="14">
        <v>1281.3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57">
        <f t="shared" si="87"/>
        <v>0</v>
      </c>
      <c r="Q344" s="18">
        <f t="shared" si="91"/>
        <v>0</v>
      </c>
      <c r="R344" s="41"/>
    </row>
    <row r="345" spans="1:18" s="9" customFormat="1" ht="30" customHeight="1" outlineLevel="3">
      <c r="A345" s="123" t="s">
        <v>257</v>
      </c>
      <c r="B345" s="136" t="s">
        <v>297</v>
      </c>
      <c r="C345" s="55" t="s">
        <v>56</v>
      </c>
      <c r="D345" s="77" t="s">
        <v>363</v>
      </c>
      <c r="E345" s="11" t="s">
        <v>244</v>
      </c>
      <c r="F345" s="56">
        <f t="shared" si="86"/>
        <v>1020.4</v>
      </c>
      <c r="G345" s="14">
        <f aca="true" t="shared" si="102" ref="G345:O345">G346</f>
        <v>1020.4</v>
      </c>
      <c r="H345" s="14">
        <f t="shared" si="102"/>
        <v>0</v>
      </c>
      <c r="I345" s="14">
        <f t="shared" si="102"/>
        <v>0</v>
      </c>
      <c r="J345" s="14">
        <f t="shared" si="102"/>
        <v>0</v>
      </c>
      <c r="K345" s="14">
        <f t="shared" si="102"/>
        <v>0</v>
      </c>
      <c r="L345" s="14">
        <f t="shared" si="102"/>
        <v>0</v>
      </c>
      <c r="M345" s="14">
        <f t="shared" si="102"/>
        <v>0</v>
      </c>
      <c r="N345" s="14">
        <f t="shared" si="102"/>
        <v>0</v>
      </c>
      <c r="O345" s="14">
        <f t="shared" si="102"/>
        <v>0</v>
      </c>
      <c r="P345" s="57">
        <f t="shared" si="87"/>
        <v>0</v>
      </c>
      <c r="Q345" s="18">
        <f t="shared" si="91"/>
        <v>0</v>
      </c>
      <c r="R345" s="41"/>
    </row>
    <row r="346" spans="1:18" s="9" customFormat="1" ht="40.5" customHeight="1" outlineLevel="3">
      <c r="A346" s="124"/>
      <c r="B346" s="140"/>
      <c r="C346" s="55" t="s">
        <v>56</v>
      </c>
      <c r="D346" s="77" t="s">
        <v>363</v>
      </c>
      <c r="E346" s="11" t="s">
        <v>226</v>
      </c>
      <c r="F346" s="56">
        <f>G346+H346+I346+J346+K346+L346+M346+N346+O346</f>
        <v>1020.4</v>
      </c>
      <c r="G346" s="14">
        <v>1020.4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57">
        <f t="shared" si="87"/>
        <v>0</v>
      </c>
      <c r="Q346" s="18">
        <f t="shared" si="91"/>
        <v>0</v>
      </c>
      <c r="R346" s="41"/>
    </row>
    <row r="347" spans="1:18" s="9" customFormat="1" ht="34.5" customHeight="1" outlineLevel="3">
      <c r="A347" s="66" t="s">
        <v>258</v>
      </c>
      <c r="B347" s="136" t="s">
        <v>581</v>
      </c>
      <c r="C347" s="55" t="s">
        <v>56</v>
      </c>
      <c r="D347" s="77" t="s">
        <v>417</v>
      </c>
      <c r="E347" s="11" t="s">
        <v>244</v>
      </c>
      <c r="F347" s="56">
        <f t="shared" si="86"/>
        <v>8866</v>
      </c>
      <c r="G347" s="14">
        <f aca="true" t="shared" si="103" ref="G347:O348">G348</f>
        <v>0</v>
      </c>
      <c r="H347" s="14">
        <f t="shared" si="103"/>
        <v>0</v>
      </c>
      <c r="I347" s="14">
        <f t="shared" si="103"/>
        <v>11.1</v>
      </c>
      <c r="J347" s="14">
        <f t="shared" si="103"/>
        <v>4402.9</v>
      </c>
      <c r="K347" s="14">
        <f t="shared" si="103"/>
        <v>4452</v>
      </c>
      <c r="L347" s="14">
        <f t="shared" si="103"/>
        <v>0</v>
      </c>
      <c r="M347" s="14">
        <f t="shared" si="103"/>
        <v>0</v>
      </c>
      <c r="N347" s="14">
        <f t="shared" si="103"/>
        <v>0</v>
      </c>
      <c r="O347" s="14">
        <f t="shared" si="103"/>
        <v>0</v>
      </c>
      <c r="P347" s="57">
        <f t="shared" si="87"/>
        <v>0</v>
      </c>
      <c r="Q347" s="18">
        <f t="shared" si="91"/>
        <v>0</v>
      </c>
      <c r="R347" s="41"/>
    </row>
    <row r="348" spans="1:18" s="9" customFormat="1" ht="62.25" customHeight="1" outlineLevel="3">
      <c r="A348" s="66"/>
      <c r="B348" s="137"/>
      <c r="C348" s="55" t="s">
        <v>56</v>
      </c>
      <c r="D348" s="77" t="s">
        <v>417</v>
      </c>
      <c r="E348" s="11" t="s">
        <v>226</v>
      </c>
      <c r="F348" s="56">
        <f t="shared" si="86"/>
        <v>8866</v>
      </c>
      <c r="G348" s="14">
        <f>G349</f>
        <v>0</v>
      </c>
      <c r="H348" s="14">
        <f t="shared" si="103"/>
        <v>0</v>
      </c>
      <c r="I348" s="14">
        <f t="shared" si="103"/>
        <v>11.1</v>
      </c>
      <c r="J348" s="14">
        <f t="shared" si="103"/>
        <v>4402.9</v>
      </c>
      <c r="K348" s="14">
        <f t="shared" si="103"/>
        <v>4452</v>
      </c>
      <c r="L348" s="14">
        <f t="shared" si="103"/>
        <v>0</v>
      </c>
      <c r="M348" s="14">
        <f t="shared" si="103"/>
        <v>0</v>
      </c>
      <c r="N348" s="14">
        <f t="shared" si="103"/>
        <v>0</v>
      </c>
      <c r="O348" s="14">
        <f t="shared" si="103"/>
        <v>0</v>
      </c>
      <c r="P348" s="57">
        <f t="shared" si="87"/>
        <v>0</v>
      </c>
      <c r="Q348" s="18">
        <f t="shared" si="91"/>
        <v>0</v>
      </c>
      <c r="R348" s="41"/>
    </row>
    <row r="349" spans="1:18" s="9" customFormat="1" ht="48" customHeight="1" outlineLevel="3">
      <c r="A349" s="66"/>
      <c r="B349" s="137"/>
      <c r="C349" s="55" t="s">
        <v>56</v>
      </c>
      <c r="D349" s="77" t="s">
        <v>417</v>
      </c>
      <c r="E349" s="11" t="s">
        <v>229</v>
      </c>
      <c r="F349" s="56">
        <f t="shared" si="86"/>
        <v>8866</v>
      </c>
      <c r="G349" s="14">
        <v>0</v>
      </c>
      <c r="H349" s="14">
        <v>0</v>
      </c>
      <c r="I349" s="14">
        <v>11.1</v>
      </c>
      <c r="J349" s="14">
        <v>4402.9</v>
      </c>
      <c r="K349" s="14">
        <v>4452</v>
      </c>
      <c r="L349" s="14">
        <v>0</v>
      </c>
      <c r="M349" s="14">
        <v>0</v>
      </c>
      <c r="N349" s="14">
        <v>0</v>
      </c>
      <c r="O349" s="14">
        <v>0</v>
      </c>
      <c r="P349" s="57"/>
      <c r="Q349" s="18">
        <f t="shared" si="91"/>
        <v>0</v>
      </c>
      <c r="R349" s="41"/>
    </row>
    <row r="350" spans="1:18" s="9" customFormat="1" ht="57.75" customHeight="1" hidden="1" outlineLevel="3">
      <c r="A350" s="66"/>
      <c r="B350" s="137"/>
      <c r="C350" s="55" t="s">
        <v>56</v>
      </c>
      <c r="D350" s="77" t="s">
        <v>513</v>
      </c>
      <c r="E350" s="11" t="s">
        <v>230</v>
      </c>
      <c r="F350" s="56">
        <f t="shared" si="86"/>
        <v>0</v>
      </c>
      <c r="G350" s="14">
        <v>0</v>
      </c>
      <c r="H350" s="14">
        <v>0</v>
      </c>
      <c r="I350" s="14">
        <v>0</v>
      </c>
      <c r="J350" s="14">
        <v>0</v>
      </c>
      <c r="K350" s="14"/>
      <c r="L350" s="14"/>
      <c r="M350" s="14">
        <v>0</v>
      </c>
      <c r="N350" s="14">
        <v>0</v>
      </c>
      <c r="O350" s="14">
        <v>0</v>
      </c>
      <c r="P350" s="57"/>
      <c r="Q350" s="18">
        <f t="shared" si="91"/>
        <v>0</v>
      </c>
      <c r="R350" s="41"/>
    </row>
    <row r="351" spans="1:18" s="9" customFormat="1" ht="54.75" customHeight="1" hidden="1" outlineLevel="3">
      <c r="A351" s="66"/>
      <c r="B351" s="140"/>
      <c r="C351" s="55" t="s">
        <v>56</v>
      </c>
      <c r="D351" s="77" t="s">
        <v>513</v>
      </c>
      <c r="E351" s="11" t="s">
        <v>514</v>
      </c>
      <c r="F351" s="56">
        <f t="shared" si="86"/>
        <v>0</v>
      </c>
      <c r="G351" s="14">
        <v>0</v>
      </c>
      <c r="H351" s="14">
        <v>0</v>
      </c>
      <c r="I351" s="14">
        <v>0</v>
      </c>
      <c r="J351" s="14">
        <v>0</v>
      </c>
      <c r="K351" s="14"/>
      <c r="L351" s="14"/>
      <c r="M351" s="14">
        <v>0</v>
      </c>
      <c r="N351" s="14">
        <v>0</v>
      </c>
      <c r="O351" s="14">
        <v>0</v>
      </c>
      <c r="P351" s="57"/>
      <c r="Q351" s="18">
        <f t="shared" si="91"/>
        <v>0</v>
      </c>
      <c r="R351" s="41"/>
    </row>
    <row r="352" spans="1:18" s="9" customFormat="1" ht="37.5" customHeight="1" outlineLevel="3">
      <c r="A352" s="131" t="s">
        <v>395</v>
      </c>
      <c r="B352" s="127" t="s">
        <v>602</v>
      </c>
      <c r="C352" s="55" t="s">
        <v>56</v>
      </c>
      <c r="D352" s="77" t="s">
        <v>418</v>
      </c>
      <c r="E352" s="11" t="s">
        <v>226</v>
      </c>
      <c r="F352" s="56">
        <f t="shared" si="86"/>
        <v>9240.300000000001</v>
      </c>
      <c r="G352" s="14">
        <f aca="true" t="shared" si="104" ref="G352:O352">G353</f>
        <v>0</v>
      </c>
      <c r="H352" s="14">
        <f t="shared" si="104"/>
        <v>0</v>
      </c>
      <c r="I352" s="14">
        <f t="shared" si="104"/>
        <v>5.3</v>
      </c>
      <c r="J352" s="14">
        <f t="shared" si="104"/>
        <v>4425.2</v>
      </c>
      <c r="K352" s="14">
        <f t="shared" si="104"/>
        <v>4612.2</v>
      </c>
      <c r="L352" s="14">
        <f t="shared" si="104"/>
        <v>197.6</v>
      </c>
      <c r="M352" s="14">
        <f t="shared" si="104"/>
        <v>0</v>
      </c>
      <c r="N352" s="14">
        <f t="shared" si="104"/>
        <v>0</v>
      </c>
      <c r="O352" s="14">
        <f t="shared" si="104"/>
        <v>0</v>
      </c>
      <c r="P352" s="57">
        <f t="shared" si="87"/>
        <v>0</v>
      </c>
      <c r="Q352" s="18">
        <f t="shared" si="91"/>
        <v>0</v>
      </c>
      <c r="R352" s="41"/>
    </row>
    <row r="353" spans="1:18" s="9" customFormat="1" ht="37.5" customHeight="1" outlineLevel="3">
      <c r="A353" s="131"/>
      <c r="B353" s="128"/>
      <c r="C353" s="55" t="s">
        <v>56</v>
      </c>
      <c r="D353" s="77" t="s">
        <v>418</v>
      </c>
      <c r="E353" s="11" t="s">
        <v>229</v>
      </c>
      <c r="F353" s="56">
        <f t="shared" si="86"/>
        <v>9240.300000000001</v>
      </c>
      <c r="G353" s="14">
        <v>0</v>
      </c>
      <c r="H353" s="14">
        <v>0</v>
      </c>
      <c r="I353" s="14">
        <f>6725.4-2076-4649.4+5.3</f>
        <v>5.3</v>
      </c>
      <c r="J353" s="14">
        <v>4425.2</v>
      </c>
      <c r="K353" s="14">
        <v>4612.2</v>
      </c>
      <c r="L353" s="14">
        <v>197.6</v>
      </c>
      <c r="M353" s="14">
        <v>0</v>
      </c>
      <c r="N353" s="14">
        <v>0</v>
      </c>
      <c r="O353" s="14">
        <v>0</v>
      </c>
      <c r="P353" s="57">
        <f t="shared" si="87"/>
        <v>0</v>
      </c>
      <c r="Q353" s="18">
        <f t="shared" si="91"/>
        <v>0</v>
      </c>
      <c r="R353" s="41"/>
    </row>
    <row r="354" spans="1:18" s="45" customFormat="1" ht="30.75" customHeight="1" hidden="1" outlineLevel="3">
      <c r="A354" s="79" t="s">
        <v>259</v>
      </c>
      <c r="B354" s="136" t="s">
        <v>504</v>
      </c>
      <c r="C354" s="80" t="s">
        <v>56</v>
      </c>
      <c r="D354" s="81" t="s">
        <v>473</v>
      </c>
      <c r="E354" s="82" t="s">
        <v>244</v>
      </c>
      <c r="F354" s="56">
        <f t="shared" si="86"/>
        <v>0</v>
      </c>
      <c r="G354" s="83">
        <f aca="true" t="shared" si="105" ref="G354:L354">G355</f>
        <v>0</v>
      </c>
      <c r="H354" s="83">
        <f t="shared" si="105"/>
        <v>0</v>
      </c>
      <c r="I354" s="83">
        <f t="shared" si="105"/>
        <v>0</v>
      </c>
      <c r="J354" s="83">
        <f t="shared" si="105"/>
        <v>0</v>
      </c>
      <c r="K354" s="14">
        <f t="shared" si="105"/>
        <v>0</v>
      </c>
      <c r="L354" s="14">
        <f t="shared" si="105"/>
        <v>0</v>
      </c>
      <c r="M354" s="14"/>
      <c r="N354" s="14"/>
      <c r="O354" s="14"/>
      <c r="P354" s="84">
        <f t="shared" si="87"/>
        <v>0</v>
      </c>
      <c r="Q354" s="18">
        <f t="shared" si="91"/>
        <v>0</v>
      </c>
      <c r="R354" s="44"/>
    </row>
    <row r="355" spans="1:18" s="45" customFormat="1" ht="42" customHeight="1" hidden="1" outlineLevel="3">
      <c r="A355" s="79"/>
      <c r="B355" s="140"/>
      <c r="C355" s="80" t="s">
        <v>56</v>
      </c>
      <c r="D355" s="81" t="s">
        <v>473</v>
      </c>
      <c r="E355" s="82" t="s">
        <v>226</v>
      </c>
      <c r="F355" s="56">
        <f t="shared" si="86"/>
        <v>0</v>
      </c>
      <c r="G355" s="83">
        <v>0</v>
      </c>
      <c r="H355" s="83">
        <v>0</v>
      </c>
      <c r="I355" s="83">
        <v>0</v>
      </c>
      <c r="J355" s="83">
        <v>0</v>
      </c>
      <c r="K355" s="14">
        <v>0</v>
      </c>
      <c r="L355" s="14">
        <v>0</v>
      </c>
      <c r="M355" s="14"/>
      <c r="N355" s="14"/>
      <c r="O355" s="14"/>
      <c r="P355" s="84">
        <f t="shared" si="87"/>
        <v>0</v>
      </c>
      <c r="Q355" s="18">
        <f t="shared" si="91"/>
        <v>0</v>
      </c>
      <c r="R355" s="44"/>
    </row>
    <row r="356" spans="1:18" s="9" customFormat="1" ht="47.25" customHeight="1" hidden="1" outlineLevel="3">
      <c r="A356" s="123" t="s">
        <v>259</v>
      </c>
      <c r="B356" s="127" t="s">
        <v>350</v>
      </c>
      <c r="C356" s="55" t="s">
        <v>56</v>
      </c>
      <c r="D356" s="63" t="s">
        <v>412</v>
      </c>
      <c r="E356" s="11" t="s">
        <v>244</v>
      </c>
      <c r="F356" s="56">
        <f t="shared" si="86"/>
        <v>0</v>
      </c>
      <c r="G356" s="14">
        <f aca="true" t="shared" si="106" ref="G356:L356">G357+G358</f>
        <v>0</v>
      </c>
      <c r="H356" s="14">
        <f t="shared" si="106"/>
        <v>0</v>
      </c>
      <c r="I356" s="14">
        <f t="shared" si="106"/>
        <v>0</v>
      </c>
      <c r="J356" s="14">
        <f t="shared" si="106"/>
        <v>0</v>
      </c>
      <c r="K356" s="14">
        <f t="shared" si="106"/>
        <v>0</v>
      </c>
      <c r="L356" s="14">
        <f t="shared" si="106"/>
        <v>0</v>
      </c>
      <c r="M356" s="14"/>
      <c r="N356" s="14"/>
      <c r="O356" s="14"/>
      <c r="P356" s="57">
        <f t="shared" si="87"/>
        <v>0</v>
      </c>
      <c r="Q356" s="18">
        <f t="shared" si="91"/>
        <v>0</v>
      </c>
      <c r="R356" s="41"/>
    </row>
    <row r="357" spans="1:18" s="9" customFormat="1" ht="55.5" customHeight="1" hidden="1" outlineLevel="3">
      <c r="A357" s="129"/>
      <c r="B357" s="130"/>
      <c r="C357" s="55" t="s">
        <v>56</v>
      </c>
      <c r="D357" s="63" t="s">
        <v>351</v>
      </c>
      <c r="E357" s="11" t="s">
        <v>230</v>
      </c>
      <c r="F357" s="56">
        <f t="shared" si="86"/>
        <v>0</v>
      </c>
      <c r="G357" s="14">
        <f>G359+G361+G368+G363</f>
        <v>0</v>
      </c>
      <c r="H357" s="14">
        <f>H359+H361+H368+H363</f>
        <v>0</v>
      </c>
      <c r="I357" s="14">
        <f>I359+I361+I363</f>
        <v>0</v>
      </c>
      <c r="J357" s="14">
        <f aca="true" t="shared" si="107" ref="J357:L358">J359+J361+J368+J363</f>
        <v>0</v>
      </c>
      <c r="K357" s="14">
        <f t="shared" si="107"/>
        <v>0</v>
      </c>
      <c r="L357" s="14">
        <f t="shared" si="107"/>
        <v>0</v>
      </c>
      <c r="M357" s="14"/>
      <c r="N357" s="14"/>
      <c r="O357" s="14"/>
      <c r="P357" s="57">
        <f t="shared" si="87"/>
        <v>0</v>
      </c>
      <c r="Q357" s="18">
        <f t="shared" si="91"/>
        <v>0</v>
      </c>
      <c r="R357" s="41"/>
    </row>
    <row r="358" spans="1:18" s="9" customFormat="1" ht="46.5" customHeight="1" hidden="1" outlineLevel="3">
      <c r="A358" s="124"/>
      <c r="B358" s="128"/>
      <c r="C358" s="55" t="s">
        <v>56</v>
      </c>
      <c r="D358" s="63" t="s">
        <v>413</v>
      </c>
      <c r="E358" s="11" t="s">
        <v>229</v>
      </c>
      <c r="F358" s="56">
        <f t="shared" si="86"/>
        <v>0</v>
      </c>
      <c r="G358" s="14">
        <f>G360+G362+G369+G364</f>
        <v>0</v>
      </c>
      <c r="H358" s="14">
        <f>H360+H362+H369+H364</f>
        <v>0</v>
      </c>
      <c r="I358" s="14">
        <f>I360+I362+I369+I364</f>
        <v>0</v>
      </c>
      <c r="J358" s="14">
        <f t="shared" si="107"/>
        <v>0</v>
      </c>
      <c r="K358" s="14">
        <f t="shared" si="107"/>
        <v>0</v>
      </c>
      <c r="L358" s="14">
        <f t="shared" si="107"/>
        <v>0</v>
      </c>
      <c r="M358" s="14"/>
      <c r="N358" s="14"/>
      <c r="O358" s="14"/>
      <c r="P358" s="57">
        <f t="shared" si="87"/>
        <v>0</v>
      </c>
      <c r="Q358" s="18">
        <f t="shared" si="91"/>
        <v>0</v>
      </c>
      <c r="R358" s="41"/>
    </row>
    <row r="359" spans="1:18" s="9" customFormat="1" ht="57" customHeight="1" hidden="1" outlineLevel="3">
      <c r="A359" s="123" t="s">
        <v>316</v>
      </c>
      <c r="B359" s="127" t="s">
        <v>242</v>
      </c>
      <c r="C359" s="55" t="s">
        <v>56</v>
      </c>
      <c r="D359" s="63" t="s">
        <v>196</v>
      </c>
      <c r="E359" s="11" t="s">
        <v>230</v>
      </c>
      <c r="F359" s="56">
        <f t="shared" si="86"/>
        <v>0</v>
      </c>
      <c r="G359" s="14"/>
      <c r="H359" s="14"/>
      <c r="I359" s="14"/>
      <c r="J359" s="14"/>
      <c r="K359" s="14"/>
      <c r="L359" s="14"/>
      <c r="M359" s="14"/>
      <c r="N359" s="14"/>
      <c r="O359" s="14"/>
      <c r="P359" s="57">
        <f t="shared" si="87"/>
        <v>0</v>
      </c>
      <c r="Q359" s="18">
        <f t="shared" si="91"/>
        <v>0</v>
      </c>
      <c r="R359" s="41"/>
    </row>
    <row r="360" spans="1:18" s="9" customFormat="1" ht="57" customHeight="1" hidden="1" outlineLevel="3">
      <c r="A360" s="124"/>
      <c r="B360" s="128"/>
      <c r="C360" s="55" t="s">
        <v>56</v>
      </c>
      <c r="D360" s="63" t="s">
        <v>196</v>
      </c>
      <c r="E360" s="11" t="s">
        <v>229</v>
      </c>
      <c r="F360" s="56">
        <f t="shared" si="86"/>
        <v>0</v>
      </c>
      <c r="G360" s="14"/>
      <c r="H360" s="14"/>
      <c r="I360" s="14"/>
      <c r="J360" s="14"/>
      <c r="K360" s="14"/>
      <c r="L360" s="14"/>
      <c r="M360" s="14"/>
      <c r="N360" s="14"/>
      <c r="O360" s="14"/>
      <c r="P360" s="57">
        <f t="shared" si="87"/>
        <v>0</v>
      </c>
      <c r="Q360" s="18">
        <f t="shared" si="91"/>
        <v>0</v>
      </c>
      <c r="R360" s="41"/>
    </row>
    <row r="361" spans="1:18" s="9" customFormat="1" ht="61.5" customHeight="1" hidden="1" outlineLevel="3">
      <c r="A361" s="123" t="s">
        <v>195</v>
      </c>
      <c r="B361" s="127" t="s">
        <v>245</v>
      </c>
      <c r="C361" s="55" t="s">
        <v>56</v>
      </c>
      <c r="D361" s="63" t="s">
        <v>196</v>
      </c>
      <c r="E361" s="11" t="s">
        <v>230</v>
      </c>
      <c r="F361" s="56">
        <f t="shared" si="86"/>
        <v>0</v>
      </c>
      <c r="G361" s="14"/>
      <c r="H361" s="14"/>
      <c r="I361" s="14"/>
      <c r="J361" s="14"/>
      <c r="K361" s="14"/>
      <c r="L361" s="14"/>
      <c r="M361" s="14"/>
      <c r="N361" s="14"/>
      <c r="O361" s="14"/>
      <c r="P361" s="57">
        <f t="shared" si="87"/>
        <v>0</v>
      </c>
      <c r="Q361" s="18">
        <f t="shared" si="91"/>
        <v>0</v>
      </c>
      <c r="R361" s="41"/>
    </row>
    <row r="362" spans="1:18" s="9" customFormat="1" ht="61.5" customHeight="1" hidden="1" outlineLevel="3">
      <c r="A362" s="124"/>
      <c r="B362" s="128"/>
      <c r="C362" s="55" t="s">
        <v>56</v>
      </c>
      <c r="D362" s="63" t="s">
        <v>196</v>
      </c>
      <c r="E362" s="11" t="s">
        <v>229</v>
      </c>
      <c r="F362" s="56">
        <f t="shared" si="86"/>
        <v>0</v>
      </c>
      <c r="G362" s="14"/>
      <c r="H362" s="14"/>
      <c r="I362" s="14"/>
      <c r="J362" s="14"/>
      <c r="K362" s="14"/>
      <c r="L362" s="14"/>
      <c r="M362" s="14"/>
      <c r="N362" s="14"/>
      <c r="O362" s="14"/>
      <c r="P362" s="57">
        <f t="shared" si="87"/>
        <v>0</v>
      </c>
      <c r="Q362" s="18">
        <f t="shared" si="91"/>
        <v>0</v>
      </c>
      <c r="R362" s="41"/>
    </row>
    <row r="363" spans="1:18" s="9" customFormat="1" ht="48.75" customHeight="1" hidden="1" outlineLevel="3">
      <c r="A363" s="123" t="s">
        <v>420</v>
      </c>
      <c r="B363" s="127" t="s">
        <v>114</v>
      </c>
      <c r="C363" s="55" t="s">
        <v>56</v>
      </c>
      <c r="D363" s="63" t="s">
        <v>351</v>
      </c>
      <c r="E363" s="11" t="s">
        <v>230</v>
      </c>
      <c r="F363" s="56">
        <f aca="true" t="shared" si="108" ref="F363:F409">G363+H363+I363+J363+K363+L363+M363+N363+O363</f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/>
      <c r="N363" s="14"/>
      <c r="O363" s="14"/>
      <c r="P363" s="57">
        <f aca="true" t="shared" si="109" ref="P363:P409">L363+K363+J363+I363+H363+G363-F363</f>
        <v>0</v>
      </c>
      <c r="Q363" s="18">
        <f t="shared" si="91"/>
        <v>0</v>
      </c>
      <c r="R363" s="41"/>
    </row>
    <row r="364" spans="1:18" s="9" customFormat="1" ht="54.75" customHeight="1" hidden="1" outlineLevel="3">
      <c r="A364" s="124"/>
      <c r="B364" s="128"/>
      <c r="C364" s="55" t="s">
        <v>56</v>
      </c>
      <c r="D364" s="63" t="s">
        <v>351</v>
      </c>
      <c r="E364" s="11" t="s">
        <v>229</v>
      </c>
      <c r="F364" s="56">
        <f t="shared" si="108"/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/>
      <c r="N364" s="14"/>
      <c r="O364" s="14"/>
      <c r="P364" s="57">
        <f t="shared" si="109"/>
        <v>0</v>
      </c>
      <c r="Q364" s="18">
        <f t="shared" si="91"/>
        <v>0</v>
      </c>
      <c r="R364" s="41"/>
    </row>
    <row r="365" spans="1:18" s="9" customFormat="1" ht="54.75" customHeight="1" hidden="1" outlineLevel="3">
      <c r="A365" s="66" t="s">
        <v>395</v>
      </c>
      <c r="B365" s="110" t="s">
        <v>396</v>
      </c>
      <c r="C365" s="55" t="s">
        <v>56</v>
      </c>
      <c r="D365" s="63" t="s">
        <v>196</v>
      </c>
      <c r="E365" s="11" t="s">
        <v>244</v>
      </c>
      <c r="F365" s="56">
        <f t="shared" si="108"/>
        <v>0</v>
      </c>
      <c r="G365" s="14">
        <f aca="true" t="shared" si="110" ref="G365:L365">G366+G367</f>
        <v>0</v>
      </c>
      <c r="H365" s="14">
        <f t="shared" si="110"/>
        <v>0</v>
      </c>
      <c r="I365" s="14">
        <f t="shared" si="110"/>
        <v>0</v>
      </c>
      <c r="J365" s="14">
        <f t="shared" si="110"/>
        <v>0</v>
      </c>
      <c r="K365" s="14">
        <f t="shared" si="110"/>
        <v>0</v>
      </c>
      <c r="L365" s="14">
        <f t="shared" si="110"/>
        <v>0</v>
      </c>
      <c r="M365" s="14"/>
      <c r="N365" s="14"/>
      <c r="O365" s="14"/>
      <c r="P365" s="57">
        <f t="shared" si="109"/>
        <v>0</v>
      </c>
      <c r="Q365" s="18">
        <f t="shared" si="91"/>
        <v>0</v>
      </c>
      <c r="R365" s="41"/>
    </row>
    <row r="366" spans="1:18" s="9" customFormat="1" ht="54.75" customHeight="1" hidden="1" outlineLevel="3">
      <c r="A366" s="66"/>
      <c r="B366" s="110"/>
      <c r="C366" s="55" t="s">
        <v>56</v>
      </c>
      <c r="D366" s="63" t="s">
        <v>196</v>
      </c>
      <c r="E366" s="11" t="s">
        <v>230</v>
      </c>
      <c r="F366" s="56">
        <f t="shared" si="108"/>
        <v>0</v>
      </c>
      <c r="G366" s="14">
        <f aca="true" t="shared" si="111" ref="G366:L367">G368</f>
        <v>0</v>
      </c>
      <c r="H366" s="14">
        <f t="shared" si="111"/>
        <v>0</v>
      </c>
      <c r="I366" s="14">
        <f t="shared" si="111"/>
        <v>0</v>
      </c>
      <c r="J366" s="14">
        <f t="shared" si="111"/>
        <v>0</v>
      </c>
      <c r="K366" s="14">
        <f t="shared" si="111"/>
        <v>0</v>
      </c>
      <c r="L366" s="14">
        <f t="shared" si="111"/>
        <v>0</v>
      </c>
      <c r="M366" s="14"/>
      <c r="N366" s="14"/>
      <c r="O366" s="14"/>
      <c r="P366" s="57">
        <f t="shared" si="109"/>
        <v>0</v>
      </c>
      <c r="Q366" s="18">
        <f t="shared" si="91"/>
        <v>0</v>
      </c>
      <c r="R366" s="41"/>
    </row>
    <row r="367" spans="1:18" s="9" customFormat="1" ht="54.75" customHeight="1" hidden="1" outlineLevel="3">
      <c r="A367" s="66"/>
      <c r="B367" s="110"/>
      <c r="C367" s="55" t="s">
        <v>56</v>
      </c>
      <c r="D367" s="63" t="s">
        <v>196</v>
      </c>
      <c r="E367" s="11" t="s">
        <v>229</v>
      </c>
      <c r="F367" s="56">
        <f t="shared" si="108"/>
        <v>0</v>
      </c>
      <c r="G367" s="14">
        <f t="shared" si="111"/>
        <v>0</v>
      </c>
      <c r="H367" s="14">
        <f t="shared" si="111"/>
        <v>0</v>
      </c>
      <c r="I367" s="14">
        <f t="shared" si="111"/>
        <v>0</v>
      </c>
      <c r="J367" s="14">
        <f t="shared" si="111"/>
        <v>0</v>
      </c>
      <c r="K367" s="14">
        <f t="shared" si="111"/>
        <v>0</v>
      </c>
      <c r="L367" s="14">
        <f t="shared" si="111"/>
        <v>0</v>
      </c>
      <c r="M367" s="14"/>
      <c r="N367" s="14"/>
      <c r="O367" s="14"/>
      <c r="P367" s="57">
        <f t="shared" si="109"/>
        <v>0</v>
      </c>
      <c r="Q367" s="18">
        <f t="shared" si="91"/>
        <v>0</v>
      </c>
      <c r="R367" s="41"/>
    </row>
    <row r="368" spans="1:18" s="9" customFormat="1" ht="48.75" customHeight="1" hidden="1" outlineLevel="3">
      <c r="A368" s="123" t="s">
        <v>397</v>
      </c>
      <c r="B368" s="127" t="s">
        <v>243</v>
      </c>
      <c r="C368" s="55" t="s">
        <v>56</v>
      </c>
      <c r="D368" s="63" t="s">
        <v>196</v>
      </c>
      <c r="E368" s="11" t="s">
        <v>230</v>
      </c>
      <c r="F368" s="56">
        <f t="shared" si="108"/>
        <v>0</v>
      </c>
      <c r="G368" s="14"/>
      <c r="H368" s="14"/>
      <c r="I368" s="14">
        <v>0</v>
      </c>
      <c r="J368" s="14"/>
      <c r="K368" s="14"/>
      <c r="L368" s="14"/>
      <c r="M368" s="14"/>
      <c r="N368" s="14"/>
      <c r="O368" s="14"/>
      <c r="P368" s="57">
        <f t="shared" si="109"/>
        <v>0</v>
      </c>
      <c r="Q368" s="18">
        <f t="shared" si="91"/>
        <v>0</v>
      </c>
      <c r="R368" s="41"/>
    </row>
    <row r="369" spans="1:18" s="9" customFormat="1" ht="54.75" customHeight="1" hidden="1" outlineLevel="3">
      <c r="A369" s="124"/>
      <c r="B369" s="128"/>
      <c r="C369" s="55" t="s">
        <v>56</v>
      </c>
      <c r="D369" s="63" t="s">
        <v>196</v>
      </c>
      <c r="E369" s="11" t="s">
        <v>229</v>
      </c>
      <c r="F369" s="56">
        <f t="shared" si="108"/>
        <v>0</v>
      </c>
      <c r="G369" s="14"/>
      <c r="H369" s="14"/>
      <c r="I369" s="14">
        <v>0</v>
      </c>
      <c r="J369" s="14"/>
      <c r="K369" s="14"/>
      <c r="L369" s="14"/>
      <c r="M369" s="14"/>
      <c r="N369" s="14"/>
      <c r="O369" s="14"/>
      <c r="P369" s="57">
        <f t="shared" si="109"/>
        <v>0</v>
      </c>
      <c r="Q369" s="18">
        <f t="shared" si="91"/>
        <v>0</v>
      </c>
      <c r="R369" s="41"/>
    </row>
    <row r="370" spans="1:18" s="9" customFormat="1" ht="31.5" customHeight="1" outlineLevel="3">
      <c r="A370" s="123" t="s">
        <v>259</v>
      </c>
      <c r="B370" s="127" t="s">
        <v>613</v>
      </c>
      <c r="C370" s="78" t="s">
        <v>56</v>
      </c>
      <c r="D370" s="78" t="s">
        <v>618</v>
      </c>
      <c r="E370" s="117" t="s">
        <v>244</v>
      </c>
      <c r="F370" s="56">
        <f>G370+H370+I370+J370+K370+L370+M370+N370+O370</f>
        <v>350954.3</v>
      </c>
      <c r="G370" s="14">
        <f>G371</f>
        <v>0</v>
      </c>
      <c r="H370" s="14">
        <f aca="true" t="shared" si="112" ref="H370:O370">H371</f>
        <v>0</v>
      </c>
      <c r="I370" s="14">
        <f t="shared" si="112"/>
        <v>0</v>
      </c>
      <c r="J370" s="14">
        <f t="shared" si="112"/>
        <v>0</v>
      </c>
      <c r="K370" s="14">
        <f t="shared" si="112"/>
        <v>0</v>
      </c>
      <c r="L370" s="14">
        <f>L371+L372</f>
        <v>121497.7</v>
      </c>
      <c r="M370" s="14">
        <f>M371+M372</f>
        <v>229456.6</v>
      </c>
      <c r="N370" s="14">
        <f t="shared" si="112"/>
        <v>0</v>
      </c>
      <c r="O370" s="14">
        <f t="shared" si="112"/>
        <v>0</v>
      </c>
      <c r="P370" s="57">
        <f>L370+K370+J370+I370+H370+G370-F370</f>
        <v>-229456.59999999998</v>
      </c>
      <c r="Q370" s="18">
        <f t="shared" si="91"/>
        <v>0</v>
      </c>
      <c r="R370" s="41"/>
    </row>
    <row r="371" spans="1:18" s="9" customFormat="1" ht="30.75" customHeight="1" outlineLevel="3">
      <c r="A371" s="129"/>
      <c r="B371" s="130"/>
      <c r="C371" s="78" t="s">
        <v>56</v>
      </c>
      <c r="D371" s="78" t="s">
        <v>618</v>
      </c>
      <c r="E371" s="117" t="s">
        <v>229</v>
      </c>
      <c r="F371" s="56">
        <f>G371+H371+I371+J371+K371+L371+M371+N371+O371</f>
        <v>10178.5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5721.9</v>
      </c>
      <c r="M371" s="14">
        <v>4456.6</v>
      </c>
      <c r="N371" s="14">
        <v>0</v>
      </c>
      <c r="O371" s="14">
        <v>0</v>
      </c>
      <c r="P371" s="57"/>
      <c r="Q371" s="18">
        <f t="shared" si="91"/>
        <v>0</v>
      </c>
      <c r="R371" s="85">
        <v>90.1</v>
      </c>
    </row>
    <row r="372" spans="1:18" s="9" customFormat="1" ht="30.75" customHeight="1" outlineLevel="3">
      <c r="A372" s="115"/>
      <c r="B372" s="116"/>
      <c r="C372" s="78" t="s">
        <v>56</v>
      </c>
      <c r="D372" s="78" t="s">
        <v>618</v>
      </c>
      <c r="E372" s="117" t="s">
        <v>230</v>
      </c>
      <c r="F372" s="56">
        <f>G372+H372+I372+J372+K372+L372+M372+N372+O372</f>
        <v>340775.8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115775.8</v>
      </c>
      <c r="M372" s="14">
        <v>225000</v>
      </c>
      <c r="N372" s="14">
        <v>0</v>
      </c>
      <c r="O372" s="14">
        <v>0</v>
      </c>
      <c r="P372" s="57"/>
      <c r="Q372" s="18"/>
      <c r="R372" s="119"/>
    </row>
    <row r="373" spans="1:18" s="9" customFormat="1" ht="54.75" customHeight="1" outlineLevel="3">
      <c r="A373" s="123" t="s">
        <v>448</v>
      </c>
      <c r="B373" s="127" t="s">
        <v>506</v>
      </c>
      <c r="C373" s="136" t="s">
        <v>56</v>
      </c>
      <c r="D373" s="136" t="s">
        <v>449</v>
      </c>
      <c r="E373" s="11" t="s">
        <v>244</v>
      </c>
      <c r="F373" s="56">
        <f t="shared" si="108"/>
        <v>100</v>
      </c>
      <c r="G373" s="14">
        <v>0</v>
      </c>
      <c r="H373" s="14">
        <v>0</v>
      </c>
      <c r="I373" s="14">
        <f>I374</f>
        <v>100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57">
        <f t="shared" si="109"/>
        <v>0</v>
      </c>
      <c r="Q373" s="18">
        <f t="shared" si="91"/>
        <v>0</v>
      </c>
      <c r="R373" s="41"/>
    </row>
    <row r="374" spans="1:18" s="9" customFormat="1" ht="54.75" customHeight="1" outlineLevel="3">
      <c r="A374" s="129"/>
      <c r="B374" s="130"/>
      <c r="C374" s="137"/>
      <c r="D374" s="137"/>
      <c r="E374" s="11" t="s">
        <v>552</v>
      </c>
      <c r="F374" s="56">
        <f t="shared" si="108"/>
        <v>100</v>
      </c>
      <c r="G374" s="14">
        <v>0</v>
      </c>
      <c r="H374" s="14">
        <v>0</v>
      </c>
      <c r="I374" s="14">
        <f>I375+I376</f>
        <v>100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57">
        <f t="shared" si="109"/>
        <v>0</v>
      </c>
      <c r="Q374" s="18">
        <f t="shared" si="91"/>
        <v>0</v>
      </c>
      <c r="R374" s="41"/>
    </row>
    <row r="375" spans="1:18" s="9" customFormat="1" ht="63" customHeight="1" outlineLevel="3">
      <c r="A375" s="129"/>
      <c r="B375" s="130"/>
      <c r="C375" s="137"/>
      <c r="D375" s="137"/>
      <c r="E375" s="11" t="s">
        <v>407</v>
      </c>
      <c r="F375" s="56">
        <f t="shared" si="108"/>
        <v>28.6</v>
      </c>
      <c r="G375" s="14">
        <v>0</v>
      </c>
      <c r="H375" s="14">
        <v>0</v>
      </c>
      <c r="I375" s="14">
        <v>28.6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57">
        <f t="shared" si="109"/>
        <v>0</v>
      </c>
      <c r="Q375" s="18">
        <f t="shared" si="91"/>
        <v>0</v>
      </c>
      <c r="R375" s="41"/>
    </row>
    <row r="376" spans="1:18" s="9" customFormat="1" ht="72.75" customHeight="1" outlineLevel="3">
      <c r="A376" s="124"/>
      <c r="B376" s="128"/>
      <c r="C376" s="140"/>
      <c r="D376" s="140"/>
      <c r="E376" s="11" t="s">
        <v>450</v>
      </c>
      <c r="F376" s="56">
        <f t="shared" si="108"/>
        <v>71.4</v>
      </c>
      <c r="G376" s="14">
        <v>0</v>
      </c>
      <c r="H376" s="14">
        <v>0</v>
      </c>
      <c r="I376" s="14">
        <v>71.4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57">
        <f t="shared" si="109"/>
        <v>0</v>
      </c>
      <c r="Q376" s="18">
        <f t="shared" si="91"/>
        <v>0</v>
      </c>
      <c r="R376" s="41"/>
    </row>
    <row r="377" spans="1:18" s="9" customFormat="1" ht="34.5" customHeight="1" outlineLevel="3">
      <c r="A377" s="123" t="s">
        <v>461</v>
      </c>
      <c r="B377" s="127" t="s">
        <v>451</v>
      </c>
      <c r="C377" s="136" t="s">
        <v>56</v>
      </c>
      <c r="D377" s="136" t="s">
        <v>525</v>
      </c>
      <c r="E377" s="11" t="s">
        <v>244</v>
      </c>
      <c r="F377" s="56">
        <f t="shared" si="108"/>
        <v>100</v>
      </c>
      <c r="G377" s="14">
        <v>0</v>
      </c>
      <c r="H377" s="14">
        <v>0</v>
      </c>
      <c r="I377" s="14">
        <f>I378</f>
        <v>100</v>
      </c>
      <c r="J377" s="14">
        <f>J378</f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57">
        <f t="shared" si="109"/>
        <v>0</v>
      </c>
      <c r="Q377" s="18">
        <f t="shared" si="91"/>
        <v>0</v>
      </c>
      <c r="R377" s="41"/>
    </row>
    <row r="378" spans="1:18" s="9" customFormat="1" ht="59.25" customHeight="1" outlineLevel="3">
      <c r="A378" s="129"/>
      <c r="B378" s="130"/>
      <c r="C378" s="137"/>
      <c r="D378" s="137"/>
      <c r="E378" s="11" t="s">
        <v>552</v>
      </c>
      <c r="F378" s="56">
        <f t="shared" si="108"/>
        <v>100</v>
      </c>
      <c r="G378" s="14">
        <v>0</v>
      </c>
      <c r="H378" s="14">
        <v>0</v>
      </c>
      <c r="I378" s="14">
        <f aca="true" t="shared" si="113" ref="I378:O378">I380+I381+I379</f>
        <v>100</v>
      </c>
      <c r="J378" s="14">
        <f t="shared" si="113"/>
        <v>0</v>
      </c>
      <c r="K378" s="14">
        <f t="shared" si="113"/>
        <v>0</v>
      </c>
      <c r="L378" s="14">
        <f t="shared" si="113"/>
        <v>0</v>
      </c>
      <c r="M378" s="14">
        <f t="shared" si="113"/>
        <v>0</v>
      </c>
      <c r="N378" s="14">
        <f t="shared" si="113"/>
        <v>0</v>
      </c>
      <c r="O378" s="14">
        <f t="shared" si="113"/>
        <v>0</v>
      </c>
      <c r="P378" s="57">
        <f t="shared" si="109"/>
        <v>0</v>
      </c>
      <c r="Q378" s="18">
        <f t="shared" si="91"/>
        <v>0</v>
      </c>
      <c r="R378" s="41"/>
    </row>
    <row r="379" spans="1:18" s="9" customFormat="1" ht="72" customHeight="1" hidden="1" outlineLevel="3">
      <c r="A379" s="129"/>
      <c r="B379" s="130"/>
      <c r="C379" s="137"/>
      <c r="D379" s="137"/>
      <c r="E379" s="11" t="s">
        <v>228</v>
      </c>
      <c r="F379" s="56">
        <f t="shared" si="108"/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/>
      <c r="N379" s="14"/>
      <c r="O379" s="14"/>
      <c r="P379" s="57">
        <f t="shared" si="109"/>
        <v>0</v>
      </c>
      <c r="Q379" s="18">
        <f t="shared" si="91"/>
        <v>0</v>
      </c>
      <c r="R379" s="41"/>
    </row>
    <row r="380" spans="1:18" s="9" customFormat="1" ht="57" customHeight="1" outlineLevel="3">
      <c r="A380" s="129"/>
      <c r="B380" s="130"/>
      <c r="C380" s="137"/>
      <c r="D380" s="137"/>
      <c r="E380" s="11" t="s">
        <v>407</v>
      </c>
      <c r="F380" s="56">
        <f t="shared" si="108"/>
        <v>28.6</v>
      </c>
      <c r="G380" s="14">
        <v>0</v>
      </c>
      <c r="H380" s="14">
        <v>0</v>
      </c>
      <c r="I380" s="14">
        <v>28.6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57">
        <f t="shared" si="109"/>
        <v>0</v>
      </c>
      <c r="Q380" s="18">
        <f t="shared" si="91"/>
        <v>0</v>
      </c>
      <c r="R380" s="41"/>
    </row>
    <row r="381" spans="1:18" s="9" customFormat="1" ht="72.75" customHeight="1" outlineLevel="3">
      <c r="A381" s="124"/>
      <c r="B381" s="128"/>
      <c r="C381" s="140"/>
      <c r="D381" s="140"/>
      <c r="E381" s="11" t="s">
        <v>450</v>
      </c>
      <c r="F381" s="56">
        <f t="shared" si="108"/>
        <v>71.4</v>
      </c>
      <c r="G381" s="14">
        <v>0</v>
      </c>
      <c r="H381" s="14">
        <v>0</v>
      </c>
      <c r="I381" s="14">
        <v>71.4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57">
        <f t="shared" si="109"/>
        <v>0</v>
      </c>
      <c r="Q381" s="18">
        <f t="shared" si="91"/>
        <v>0</v>
      </c>
      <c r="R381" s="41"/>
    </row>
    <row r="382" spans="1:18" s="9" customFormat="1" ht="48" customHeight="1" outlineLevel="3">
      <c r="A382" s="67" t="s">
        <v>455</v>
      </c>
      <c r="B382" s="54" t="s">
        <v>505</v>
      </c>
      <c r="C382" s="53" t="s">
        <v>56</v>
      </c>
      <c r="D382" s="53" t="s">
        <v>452</v>
      </c>
      <c r="E382" s="11" t="s">
        <v>244</v>
      </c>
      <c r="F382" s="56">
        <f t="shared" si="108"/>
        <v>1000</v>
      </c>
      <c r="G382" s="14">
        <v>0</v>
      </c>
      <c r="H382" s="14">
        <v>0</v>
      </c>
      <c r="I382" s="14">
        <f>I383</f>
        <v>1000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57">
        <f t="shared" si="109"/>
        <v>0</v>
      </c>
      <c r="Q382" s="18">
        <f t="shared" si="91"/>
        <v>0</v>
      </c>
      <c r="R382" s="41"/>
    </row>
    <row r="383" spans="1:18" s="9" customFormat="1" ht="54.75" customHeight="1" outlineLevel="3">
      <c r="A383" s="68"/>
      <c r="B383" s="61"/>
      <c r="C383" s="60"/>
      <c r="D383" s="60"/>
      <c r="E383" s="11" t="s">
        <v>552</v>
      </c>
      <c r="F383" s="56">
        <f t="shared" si="108"/>
        <v>1000</v>
      </c>
      <c r="G383" s="14">
        <v>0</v>
      </c>
      <c r="H383" s="14">
        <v>0</v>
      </c>
      <c r="I383" s="14">
        <f>I384</f>
        <v>1000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57">
        <f t="shared" si="109"/>
        <v>0</v>
      </c>
      <c r="Q383" s="18">
        <f t="shared" si="91"/>
        <v>0</v>
      </c>
      <c r="R383" s="41"/>
    </row>
    <row r="384" spans="1:18" s="9" customFormat="1" ht="72.75" customHeight="1" outlineLevel="3">
      <c r="A384" s="68"/>
      <c r="B384" s="61"/>
      <c r="C384" s="60"/>
      <c r="D384" s="60"/>
      <c r="E384" s="11" t="s">
        <v>450</v>
      </c>
      <c r="F384" s="56">
        <f t="shared" si="108"/>
        <v>1000</v>
      </c>
      <c r="G384" s="14">
        <v>0</v>
      </c>
      <c r="H384" s="14">
        <v>0</v>
      </c>
      <c r="I384" s="14">
        <v>1000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57">
        <f t="shared" si="109"/>
        <v>0</v>
      </c>
      <c r="Q384" s="18">
        <f t="shared" si="91"/>
        <v>0</v>
      </c>
      <c r="R384" s="41"/>
    </row>
    <row r="385" spans="1:18" s="9" customFormat="1" ht="36.75" customHeight="1" outlineLevel="3">
      <c r="A385" s="123" t="s">
        <v>456</v>
      </c>
      <c r="B385" s="127" t="s">
        <v>453</v>
      </c>
      <c r="C385" s="136" t="s">
        <v>56</v>
      </c>
      <c r="D385" s="136" t="s">
        <v>454</v>
      </c>
      <c r="E385" s="11" t="s">
        <v>244</v>
      </c>
      <c r="F385" s="56">
        <f t="shared" si="108"/>
        <v>1000</v>
      </c>
      <c r="G385" s="14">
        <v>0</v>
      </c>
      <c r="H385" s="14">
        <v>0</v>
      </c>
      <c r="I385" s="14">
        <f>I386</f>
        <v>1000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57">
        <f t="shared" si="109"/>
        <v>0</v>
      </c>
      <c r="Q385" s="18">
        <f t="shared" si="91"/>
        <v>0</v>
      </c>
      <c r="R385" s="41"/>
    </row>
    <row r="386" spans="1:18" s="9" customFormat="1" ht="54.75" customHeight="1" outlineLevel="3">
      <c r="A386" s="129"/>
      <c r="B386" s="130"/>
      <c r="C386" s="137"/>
      <c r="D386" s="137"/>
      <c r="E386" s="11" t="s">
        <v>552</v>
      </c>
      <c r="F386" s="56">
        <f t="shared" si="108"/>
        <v>1000</v>
      </c>
      <c r="G386" s="14">
        <v>0</v>
      </c>
      <c r="H386" s="14">
        <v>0</v>
      </c>
      <c r="I386" s="14">
        <f>I387</f>
        <v>1000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57">
        <f t="shared" si="109"/>
        <v>0</v>
      </c>
      <c r="Q386" s="18">
        <f t="shared" si="91"/>
        <v>0</v>
      </c>
      <c r="R386" s="41"/>
    </row>
    <row r="387" spans="1:18" s="9" customFormat="1" ht="65.25" customHeight="1" outlineLevel="3">
      <c r="A387" s="124"/>
      <c r="B387" s="128"/>
      <c r="C387" s="140"/>
      <c r="D387" s="140"/>
      <c r="E387" s="11" t="s">
        <v>450</v>
      </c>
      <c r="F387" s="56">
        <f t="shared" si="108"/>
        <v>1000</v>
      </c>
      <c r="G387" s="14">
        <v>0</v>
      </c>
      <c r="H387" s="14">
        <v>0</v>
      </c>
      <c r="I387" s="14">
        <v>1000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57">
        <f t="shared" si="109"/>
        <v>0</v>
      </c>
      <c r="Q387" s="18">
        <f t="shared" si="91"/>
        <v>0</v>
      </c>
      <c r="R387" s="41"/>
    </row>
    <row r="388" spans="1:18" s="9" customFormat="1" ht="48" customHeight="1" outlineLevel="3">
      <c r="A388" s="123" t="s">
        <v>470</v>
      </c>
      <c r="B388" s="127" t="s">
        <v>507</v>
      </c>
      <c r="C388" s="136" t="s">
        <v>56</v>
      </c>
      <c r="D388" s="136" t="s">
        <v>480</v>
      </c>
      <c r="E388" s="11" t="s">
        <v>244</v>
      </c>
      <c r="F388" s="56">
        <f t="shared" si="108"/>
        <v>5000</v>
      </c>
      <c r="G388" s="14">
        <f>G389+G391</f>
        <v>0</v>
      </c>
      <c r="H388" s="14">
        <f aca="true" t="shared" si="114" ref="H388:O388">H389+H391</f>
        <v>0</v>
      </c>
      <c r="I388" s="14">
        <f t="shared" si="114"/>
        <v>0</v>
      </c>
      <c r="J388" s="14">
        <f t="shared" si="114"/>
        <v>5000</v>
      </c>
      <c r="K388" s="14">
        <f t="shared" si="114"/>
        <v>0</v>
      </c>
      <c r="L388" s="14">
        <f t="shared" si="114"/>
        <v>0</v>
      </c>
      <c r="M388" s="14">
        <f t="shared" si="114"/>
        <v>0</v>
      </c>
      <c r="N388" s="14">
        <f t="shared" si="114"/>
        <v>0</v>
      </c>
      <c r="O388" s="14">
        <f t="shared" si="114"/>
        <v>0</v>
      </c>
      <c r="P388" s="57">
        <f t="shared" si="109"/>
        <v>0</v>
      </c>
      <c r="Q388" s="18">
        <f t="shared" si="91"/>
        <v>0</v>
      </c>
      <c r="R388" s="41"/>
    </row>
    <row r="389" spans="1:18" s="9" customFormat="1" ht="34.5" customHeight="1" outlineLevel="3">
      <c r="A389" s="129"/>
      <c r="B389" s="130"/>
      <c r="C389" s="137"/>
      <c r="D389" s="137"/>
      <c r="E389" s="11" t="s">
        <v>552</v>
      </c>
      <c r="F389" s="56">
        <f t="shared" si="108"/>
        <v>5000</v>
      </c>
      <c r="G389" s="14">
        <v>0</v>
      </c>
      <c r="H389" s="14">
        <v>0</v>
      </c>
      <c r="I389" s="14">
        <f>I390</f>
        <v>0</v>
      </c>
      <c r="J389" s="14">
        <f>J390</f>
        <v>5000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57">
        <f t="shared" si="109"/>
        <v>0</v>
      </c>
      <c r="Q389" s="18">
        <f t="shared" si="91"/>
        <v>0</v>
      </c>
      <c r="R389" s="41"/>
    </row>
    <row r="390" spans="1:18" s="9" customFormat="1" ht="33.75" customHeight="1" outlineLevel="3">
      <c r="A390" s="129"/>
      <c r="B390" s="130"/>
      <c r="C390" s="137"/>
      <c r="D390" s="137"/>
      <c r="E390" s="11" t="s">
        <v>450</v>
      </c>
      <c r="F390" s="56">
        <f t="shared" si="108"/>
        <v>5000</v>
      </c>
      <c r="G390" s="14">
        <v>0</v>
      </c>
      <c r="H390" s="14">
        <v>0</v>
      </c>
      <c r="I390" s="14">
        <v>0</v>
      </c>
      <c r="J390" s="14">
        <f>J394</f>
        <v>5000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57">
        <f t="shared" si="109"/>
        <v>0</v>
      </c>
      <c r="Q390" s="18">
        <f t="shared" si="91"/>
        <v>0</v>
      </c>
      <c r="R390" s="41"/>
    </row>
    <row r="391" spans="1:18" s="9" customFormat="1" ht="42" customHeight="1" outlineLevel="3">
      <c r="A391" s="129"/>
      <c r="B391" s="130"/>
      <c r="C391" s="137"/>
      <c r="D391" s="137"/>
      <c r="E391" s="11" t="s">
        <v>229</v>
      </c>
      <c r="F391" s="56">
        <f t="shared" si="108"/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57"/>
      <c r="Q391" s="18">
        <f t="shared" si="91"/>
        <v>0</v>
      </c>
      <c r="R391" s="41"/>
    </row>
    <row r="392" spans="1:18" s="9" customFormat="1" ht="36.75" customHeight="1" outlineLevel="3">
      <c r="A392" s="123" t="s">
        <v>472</v>
      </c>
      <c r="B392" s="127" t="s">
        <v>471</v>
      </c>
      <c r="C392" s="136" t="s">
        <v>56</v>
      </c>
      <c r="D392" s="136" t="s">
        <v>467</v>
      </c>
      <c r="E392" s="11" t="s">
        <v>244</v>
      </c>
      <c r="F392" s="56">
        <f t="shared" si="108"/>
        <v>5000</v>
      </c>
      <c r="G392" s="14">
        <v>0</v>
      </c>
      <c r="H392" s="14">
        <v>0</v>
      </c>
      <c r="I392" s="14">
        <f>I393</f>
        <v>0</v>
      </c>
      <c r="J392" s="14">
        <f>J393</f>
        <v>5000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57">
        <f t="shared" si="109"/>
        <v>0</v>
      </c>
      <c r="Q392" s="18">
        <f aca="true" t="shared" si="115" ref="Q392:Q449">O392+N392+M392+L392+K392+J392+I392+H392+G392-F392</f>
        <v>0</v>
      </c>
      <c r="R392" s="41"/>
    </row>
    <row r="393" spans="1:18" s="9" customFormat="1" ht="54.75" customHeight="1" outlineLevel="3">
      <c r="A393" s="129"/>
      <c r="B393" s="130"/>
      <c r="C393" s="137"/>
      <c r="D393" s="137"/>
      <c r="E393" s="11" t="s">
        <v>400</v>
      </c>
      <c r="F393" s="56">
        <f t="shared" si="108"/>
        <v>5000</v>
      </c>
      <c r="G393" s="14">
        <v>0</v>
      </c>
      <c r="H393" s="14">
        <v>0</v>
      </c>
      <c r="I393" s="14">
        <f>I394</f>
        <v>0</v>
      </c>
      <c r="J393" s="14">
        <f>J394</f>
        <v>5000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57">
        <f t="shared" si="109"/>
        <v>0</v>
      </c>
      <c r="Q393" s="18">
        <f t="shared" si="115"/>
        <v>0</v>
      </c>
      <c r="R393" s="41"/>
    </row>
    <row r="394" spans="1:18" s="9" customFormat="1" ht="33.75" customHeight="1" outlineLevel="3">
      <c r="A394" s="124"/>
      <c r="B394" s="128"/>
      <c r="C394" s="140"/>
      <c r="D394" s="140"/>
      <c r="E394" s="11" t="s">
        <v>450</v>
      </c>
      <c r="F394" s="56">
        <f t="shared" si="108"/>
        <v>5000</v>
      </c>
      <c r="G394" s="14">
        <v>0</v>
      </c>
      <c r="H394" s="14">
        <v>0</v>
      </c>
      <c r="I394" s="14">
        <v>0</v>
      </c>
      <c r="J394" s="14">
        <v>5000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57">
        <f t="shared" si="109"/>
        <v>0</v>
      </c>
      <c r="Q394" s="18">
        <f t="shared" si="115"/>
        <v>0</v>
      </c>
      <c r="R394" s="41"/>
    </row>
    <row r="395" spans="1:18" s="47" customFormat="1" ht="40.5" customHeight="1">
      <c r="A395" s="123" t="s">
        <v>260</v>
      </c>
      <c r="B395" s="127" t="s">
        <v>582</v>
      </c>
      <c r="C395" s="55" t="s">
        <v>119</v>
      </c>
      <c r="D395" s="55" t="s">
        <v>130</v>
      </c>
      <c r="E395" s="11" t="s">
        <v>244</v>
      </c>
      <c r="F395" s="56">
        <f t="shared" si="108"/>
        <v>452213.69999999995</v>
      </c>
      <c r="G395" s="14">
        <f aca="true" t="shared" si="116" ref="G395:O395">G396+G399</f>
        <v>47529.200000000004</v>
      </c>
      <c r="H395" s="14">
        <f t="shared" si="116"/>
        <v>45044.899999999994</v>
      </c>
      <c r="I395" s="14">
        <f t="shared" si="116"/>
        <v>45888.1</v>
      </c>
      <c r="J395" s="14">
        <f t="shared" si="116"/>
        <v>51943.8</v>
      </c>
      <c r="K395" s="14">
        <f t="shared" si="116"/>
        <v>46945.4</v>
      </c>
      <c r="L395" s="14">
        <f t="shared" si="116"/>
        <v>53551.5</v>
      </c>
      <c r="M395" s="14">
        <f t="shared" si="116"/>
        <v>51919.6</v>
      </c>
      <c r="N395" s="14">
        <f t="shared" si="116"/>
        <v>54695.6</v>
      </c>
      <c r="O395" s="14">
        <f t="shared" si="116"/>
        <v>54695.6</v>
      </c>
      <c r="P395" s="57">
        <f t="shared" si="109"/>
        <v>-161310.79999999993</v>
      </c>
      <c r="Q395" s="18">
        <f t="shared" si="115"/>
        <v>0</v>
      </c>
      <c r="R395" s="46"/>
    </row>
    <row r="396" spans="1:18" s="47" customFormat="1" ht="24.75" customHeight="1">
      <c r="A396" s="129"/>
      <c r="B396" s="130"/>
      <c r="C396" s="55" t="s">
        <v>119</v>
      </c>
      <c r="D396" s="55" t="s">
        <v>130</v>
      </c>
      <c r="E396" s="11" t="s">
        <v>226</v>
      </c>
      <c r="F396" s="56">
        <f t="shared" si="108"/>
        <v>3941.5</v>
      </c>
      <c r="G396" s="14">
        <f aca="true" t="shared" si="117" ref="G396:O396">G397+G398</f>
        <v>3907</v>
      </c>
      <c r="H396" s="14">
        <f t="shared" si="117"/>
        <v>34.5</v>
      </c>
      <c r="I396" s="14">
        <f t="shared" si="117"/>
        <v>0</v>
      </c>
      <c r="J396" s="14">
        <f t="shared" si="117"/>
        <v>0</v>
      </c>
      <c r="K396" s="14">
        <f t="shared" si="117"/>
        <v>0</v>
      </c>
      <c r="L396" s="14">
        <f t="shared" si="117"/>
        <v>0</v>
      </c>
      <c r="M396" s="14">
        <f t="shared" si="117"/>
        <v>0</v>
      </c>
      <c r="N396" s="14">
        <f t="shared" si="117"/>
        <v>0</v>
      </c>
      <c r="O396" s="14">
        <f t="shared" si="117"/>
        <v>0</v>
      </c>
      <c r="P396" s="57">
        <f t="shared" si="109"/>
        <v>0</v>
      </c>
      <c r="Q396" s="18">
        <f t="shared" si="115"/>
        <v>0</v>
      </c>
      <c r="R396" s="46"/>
    </row>
    <row r="397" spans="1:18" s="47" customFormat="1" ht="39" customHeight="1">
      <c r="A397" s="129"/>
      <c r="B397" s="130"/>
      <c r="C397" s="55" t="s">
        <v>119</v>
      </c>
      <c r="D397" s="55" t="s">
        <v>130</v>
      </c>
      <c r="E397" s="11" t="s">
        <v>18</v>
      </c>
      <c r="F397" s="56">
        <f t="shared" si="108"/>
        <v>3941.5</v>
      </c>
      <c r="G397" s="14">
        <f aca="true" t="shared" si="118" ref="G397:O398">G465</f>
        <v>3907</v>
      </c>
      <c r="H397" s="14">
        <f t="shared" si="118"/>
        <v>34.5</v>
      </c>
      <c r="I397" s="14">
        <f t="shared" si="118"/>
        <v>0</v>
      </c>
      <c r="J397" s="14">
        <f t="shared" si="118"/>
        <v>0</v>
      </c>
      <c r="K397" s="14">
        <f t="shared" si="118"/>
        <v>0</v>
      </c>
      <c r="L397" s="14">
        <f t="shared" si="118"/>
        <v>0</v>
      </c>
      <c r="M397" s="14">
        <f t="shared" si="118"/>
        <v>0</v>
      </c>
      <c r="N397" s="14">
        <f t="shared" si="118"/>
        <v>0</v>
      </c>
      <c r="O397" s="14">
        <f t="shared" si="118"/>
        <v>0</v>
      </c>
      <c r="P397" s="57">
        <f t="shared" si="109"/>
        <v>0</v>
      </c>
      <c r="Q397" s="18">
        <f t="shared" si="115"/>
        <v>0</v>
      </c>
      <c r="R397" s="46"/>
    </row>
    <row r="398" spans="1:18" s="47" customFormat="1" ht="35.25" customHeight="1">
      <c r="A398" s="129"/>
      <c r="B398" s="130"/>
      <c r="C398" s="55" t="s">
        <v>119</v>
      </c>
      <c r="D398" s="55" t="s">
        <v>130</v>
      </c>
      <c r="E398" s="11" t="s">
        <v>38</v>
      </c>
      <c r="F398" s="56">
        <f t="shared" si="108"/>
        <v>0</v>
      </c>
      <c r="G398" s="14">
        <f t="shared" si="118"/>
        <v>0</v>
      </c>
      <c r="H398" s="14">
        <f t="shared" si="118"/>
        <v>0</v>
      </c>
      <c r="I398" s="14">
        <f t="shared" si="118"/>
        <v>0</v>
      </c>
      <c r="J398" s="14">
        <f t="shared" si="118"/>
        <v>0</v>
      </c>
      <c r="K398" s="14">
        <f t="shared" si="118"/>
        <v>0</v>
      </c>
      <c r="L398" s="14">
        <f t="shared" si="118"/>
        <v>0</v>
      </c>
      <c r="M398" s="14">
        <f t="shared" si="118"/>
        <v>0</v>
      </c>
      <c r="N398" s="14">
        <f t="shared" si="118"/>
        <v>0</v>
      </c>
      <c r="O398" s="14">
        <f t="shared" si="118"/>
        <v>0</v>
      </c>
      <c r="P398" s="57">
        <f t="shared" si="109"/>
        <v>0</v>
      </c>
      <c r="Q398" s="18">
        <f t="shared" si="115"/>
        <v>0</v>
      </c>
      <c r="R398" s="46"/>
    </row>
    <row r="399" spans="1:18" s="47" customFormat="1" ht="26.25">
      <c r="A399" s="129"/>
      <c r="B399" s="130"/>
      <c r="C399" s="55" t="s">
        <v>119</v>
      </c>
      <c r="D399" s="55" t="s">
        <v>130</v>
      </c>
      <c r="E399" s="11" t="s">
        <v>400</v>
      </c>
      <c r="F399" s="56">
        <f t="shared" si="108"/>
        <v>448272.19999999995</v>
      </c>
      <c r="G399" s="14">
        <f aca="true" t="shared" si="119" ref="G399:O399">G400+G401+G402</f>
        <v>43622.200000000004</v>
      </c>
      <c r="H399" s="14">
        <f t="shared" si="119"/>
        <v>45010.399999999994</v>
      </c>
      <c r="I399" s="14">
        <f t="shared" si="119"/>
        <v>45888.1</v>
      </c>
      <c r="J399" s="14">
        <f t="shared" si="119"/>
        <v>51943.8</v>
      </c>
      <c r="K399" s="14">
        <f t="shared" si="119"/>
        <v>46945.4</v>
      </c>
      <c r="L399" s="14">
        <f t="shared" si="119"/>
        <v>53551.5</v>
      </c>
      <c r="M399" s="14">
        <f t="shared" si="119"/>
        <v>51919.6</v>
      </c>
      <c r="N399" s="14">
        <f t="shared" si="119"/>
        <v>54695.6</v>
      </c>
      <c r="O399" s="14">
        <f t="shared" si="119"/>
        <v>54695.6</v>
      </c>
      <c r="P399" s="57">
        <f t="shared" si="109"/>
        <v>-161310.79999999993</v>
      </c>
      <c r="Q399" s="18">
        <f t="shared" si="115"/>
        <v>0</v>
      </c>
      <c r="R399" s="46"/>
    </row>
    <row r="400" spans="1:18" s="47" customFormat="1" ht="18.75" customHeight="1">
      <c r="A400" s="129"/>
      <c r="B400" s="130"/>
      <c r="C400" s="55" t="s">
        <v>119</v>
      </c>
      <c r="D400" s="55" t="s">
        <v>130</v>
      </c>
      <c r="E400" s="11" t="s">
        <v>18</v>
      </c>
      <c r="F400" s="56">
        <f t="shared" si="108"/>
        <v>446374.1</v>
      </c>
      <c r="G400" s="14">
        <f aca="true" t="shared" si="120" ref="G400:O400">G404+G413+G482</f>
        <v>43622.200000000004</v>
      </c>
      <c r="H400" s="14">
        <f t="shared" si="120"/>
        <v>45010.399999999994</v>
      </c>
      <c r="I400" s="14">
        <f t="shared" si="120"/>
        <v>45873.1</v>
      </c>
      <c r="J400" s="14">
        <f t="shared" si="120"/>
        <v>50085.700000000004</v>
      </c>
      <c r="K400" s="14">
        <f t="shared" si="120"/>
        <v>46920.4</v>
      </c>
      <c r="L400" s="14">
        <f t="shared" si="120"/>
        <v>53551.5</v>
      </c>
      <c r="M400" s="14">
        <f t="shared" si="120"/>
        <v>51919.6</v>
      </c>
      <c r="N400" s="14">
        <f t="shared" si="120"/>
        <v>54695.6</v>
      </c>
      <c r="O400" s="14">
        <f t="shared" si="120"/>
        <v>54695.6</v>
      </c>
      <c r="P400" s="57">
        <f t="shared" si="109"/>
        <v>-161310.8</v>
      </c>
      <c r="Q400" s="18">
        <f t="shared" si="115"/>
        <v>0</v>
      </c>
      <c r="R400" s="48">
        <f>F397+F400</f>
        <v>450315.6</v>
      </c>
    </row>
    <row r="401" spans="1:18" s="47" customFormat="1" ht="28.5" customHeight="1">
      <c r="A401" s="129"/>
      <c r="B401" s="130"/>
      <c r="C401" s="55" t="s">
        <v>119</v>
      </c>
      <c r="D401" s="55" t="s">
        <v>130</v>
      </c>
      <c r="E401" s="11" t="s">
        <v>38</v>
      </c>
      <c r="F401" s="56">
        <f t="shared" si="108"/>
        <v>142.4</v>
      </c>
      <c r="G401" s="14">
        <f>G405</f>
        <v>0</v>
      </c>
      <c r="H401" s="14">
        <f>H405</f>
        <v>0</v>
      </c>
      <c r="I401" s="14">
        <f>I405</f>
        <v>15</v>
      </c>
      <c r="J401" s="14">
        <f aca="true" t="shared" si="121" ref="J401:O401">J405+J481</f>
        <v>102.4</v>
      </c>
      <c r="K401" s="14">
        <f t="shared" si="121"/>
        <v>25</v>
      </c>
      <c r="L401" s="14">
        <f t="shared" si="121"/>
        <v>0</v>
      </c>
      <c r="M401" s="14">
        <f t="shared" si="121"/>
        <v>0</v>
      </c>
      <c r="N401" s="14">
        <f t="shared" si="121"/>
        <v>0</v>
      </c>
      <c r="O401" s="14">
        <f t="shared" si="121"/>
        <v>0</v>
      </c>
      <c r="P401" s="57">
        <f t="shared" si="109"/>
        <v>0</v>
      </c>
      <c r="Q401" s="18">
        <f t="shared" si="115"/>
        <v>0</v>
      </c>
      <c r="R401" s="46"/>
    </row>
    <row r="402" spans="1:18" s="47" customFormat="1" ht="34.5" customHeight="1">
      <c r="A402" s="124"/>
      <c r="B402" s="128"/>
      <c r="C402" s="55" t="s">
        <v>119</v>
      </c>
      <c r="D402" s="55" t="s">
        <v>130</v>
      </c>
      <c r="E402" s="11" t="s">
        <v>282</v>
      </c>
      <c r="F402" s="56">
        <f t="shared" si="108"/>
        <v>1755.7</v>
      </c>
      <c r="G402" s="14">
        <f aca="true" t="shared" si="122" ref="G402:O402">G480</f>
        <v>0</v>
      </c>
      <c r="H402" s="14">
        <f t="shared" si="122"/>
        <v>0</v>
      </c>
      <c r="I402" s="14">
        <f t="shared" si="122"/>
        <v>0</v>
      </c>
      <c r="J402" s="14">
        <f t="shared" si="122"/>
        <v>1755.7</v>
      </c>
      <c r="K402" s="14">
        <f t="shared" si="122"/>
        <v>0</v>
      </c>
      <c r="L402" s="14">
        <f t="shared" si="122"/>
        <v>0</v>
      </c>
      <c r="M402" s="14">
        <f t="shared" si="122"/>
        <v>0</v>
      </c>
      <c r="N402" s="14">
        <f t="shared" si="122"/>
        <v>0</v>
      </c>
      <c r="O402" s="14">
        <f t="shared" si="122"/>
        <v>0</v>
      </c>
      <c r="P402" s="57">
        <f t="shared" si="109"/>
        <v>0</v>
      </c>
      <c r="Q402" s="18">
        <f t="shared" si="115"/>
        <v>0</v>
      </c>
      <c r="R402" s="46"/>
    </row>
    <row r="403" spans="1:18" s="40" customFormat="1" ht="39.75" customHeight="1" outlineLevel="1">
      <c r="A403" s="123" t="s">
        <v>261</v>
      </c>
      <c r="B403" s="127" t="s">
        <v>479</v>
      </c>
      <c r="C403" s="55" t="s">
        <v>119</v>
      </c>
      <c r="D403" s="55" t="s">
        <v>118</v>
      </c>
      <c r="E403" s="11" t="s">
        <v>244</v>
      </c>
      <c r="F403" s="56">
        <f t="shared" si="108"/>
        <v>440874.0999999999</v>
      </c>
      <c r="G403" s="14">
        <f aca="true" t="shared" si="123" ref="G403:O403">G404+G405</f>
        <v>42168.200000000004</v>
      </c>
      <c r="H403" s="14">
        <f t="shared" si="123"/>
        <v>44286.299999999996</v>
      </c>
      <c r="I403" s="14">
        <f t="shared" si="123"/>
        <v>45624.9</v>
      </c>
      <c r="J403" s="14">
        <f t="shared" si="123"/>
        <v>48849.700000000004</v>
      </c>
      <c r="K403" s="14">
        <f t="shared" si="123"/>
        <v>46731.9</v>
      </c>
      <c r="L403" s="14">
        <f t="shared" si="123"/>
        <v>51902.3</v>
      </c>
      <c r="M403" s="14">
        <f t="shared" si="123"/>
        <v>51919.6</v>
      </c>
      <c r="N403" s="14">
        <f t="shared" si="123"/>
        <v>54695.6</v>
      </c>
      <c r="O403" s="14">
        <f t="shared" si="123"/>
        <v>54695.6</v>
      </c>
      <c r="P403" s="57">
        <f t="shared" si="109"/>
        <v>-161310.79999999993</v>
      </c>
      <c r="Q403" s="18">
        <f t="shared" si="115"/>
        <v>0</v>
      </c>
      <c r="R403" s="39"/>
    </row>
    <row r="404" spans="1:18" s="40" customFormat="1" ht="74.25" customHeight="1" outlineLevel="1">
      <c r="A404" s="129"/>
      <c r="B404" s="130"/>
      <c r="C404" s="55" t="s">
        <v>119</v>
      </c>
      <c r="D404" s="55" t="s">
        <v>118</v>
      </c>
      <c r="E404" s="11" t="s">
        <v>228</v>
      </c>
      <c r="F404" s="56">
        <f t="shared" si="108"/>
        <v>440824.0999999999</v>
      </c>
      <c r="G404" s="14">
        <f aca="true" t="shared" si="124" ref="G404:O404">G406</f>
        <v>42168.200000000004</v>
      </c>
      <c r="H404" s="14">
        <f t="shared" si="124"/>
        <v>44286.299999999996</v>
      </c>
      <c r="I404" s="14">
        <f t="shared" si="124"/>
        <v>45609.9</v>
      </c>
      <c r="J404" s="14">
        <f t="shared" si="124"/>
        <v>48839.700000000004</v>
      </c>
      <c r="K404" s="14">
        <f t="shared" si="124"/>
        <v>46706.9</v>
      </c>
      <c r="L404" s="14">
        <f t="shared" si="124"/>
        <v>51902.3</v>
      </c>
      <c r="M404" s="14">
        <f t="shared" si="124"/>
        <v>51919.6</v>
      </c>
      <c r="N404" s="14">
        <f t="shared" si="124"/>
        <v>54695.6</v>
      </c>
      <c r="O404" s="14">
        <f t="shared" si="124"/>
        <v>54695.6</v>
      </c>
      <c r="P404" s="57">
        <f t="shared" si="109"/>
        <v>-161310.79999999993</v>
      </c>
      <c r="Q404" s="18">
        <f t="shared" si="115"/>
        <v>0</v>
      </c>
      <c r="R404" s="39"/>
    </row>
    <row r="405" spans="1:17" ht="76.5" customHeight="1" outlineLevel="2">
      <c r="A405" s="124"/>
      <c r="B405" s="128"/>
      <c r="C405" s="55" t="s">
        <v>119</v>
      </c>
      <c r="D405" s="55" t="s">
        <v>118</v>
      </c>
      <c r="E405" s="11" t="s">
        <v>407</v>
      </c>
      <c r="F405" s="56">
        <f t="shared" si="108"/>
        <v>50</v>
      </c>
      <c r="G405" s="14">
        <f aca="true" t="shared" si="125" ref="G405:O405">G411</f>
        <v>0</v>
      </c>
      <c r="H405" s="14">
        <f t="shared" si="125"/>
        <v>0</v>
      </c>
      <c r="I405" s="14">
        <f t="shared" si="125"/>
        <v>15</v>
      </c>
      <c r="J405" s="14">
        <f t="shared" si="125"/>
        <v>10</v>
      </c>
      <c r="K405" s="14">
        <f t="shared" si="125"/>
        <v>25</v>
      </c>
      <c r="L405" s="14">
        <f t="shared" si="125"/>
        <v>0</v>
      </c>
      <c r="M405" s="14">
        <f t="shared" si="125"/>
        <v>0</v>
      </c>
      <c r="N405" s="14">
        <f t="shared" si="125"/>
        <v>0</v>
      </c>
      <c r="O405" s="14">
        <f t="shared" si="125"/>
        <v>0</v>
      </c>
      <c r="P405" s="57">
        <f t="shared" si="109"/>
        <v>0</v>
      </c>
      <c r="Q405" s="18">
        <f t="shared" si="115"/>
        <v>0</v>
      </c>
    </row>
    <row r="406" spans="1:17" ht="30" customHeight="1" outlineLevel="2">
      <c r="A406" s="75" t="s">
        <v>262</v>
      </c>
      <c r="B406" s="65" t="s">
        <v>540</v>
      </c>
      <c r="C406" s="55" t="s">
        <v>119</v>
      </c>
      <c r="D406" s="55" t="s">
        <v>394</v>
      </c>
      <c r="E406" s="11" t="s">
        <v>244</v>
      </c>
      <c r="F406" s="56">
        <f t="shared" si="108"/>
        <v>440824.0999999999</v>
      </c>
      <c r="G406" s="14">
        <f aca="true" t="shared" si="126" ref="G406:O406">SUM(G407:G409)</f>
        <v>42168.200000000004</v>
      </c>
      <c r="H406" s="14">
        <f t="shared" si="126"/>
        <v>44286.299999999996</v>
      </c>
      <c r="I406" s="14">
        <f t="shared" si="126"/>
        <v>45609.9</v>
      </c>
      <c r="J406" s="14">
        <f t="shared" si="126"/>
        <v>48839.700000000004</v>
      </c>
      <c r="K406" s="14">
        <f t="shared" si="126"/>
        <v>46706.9</v>
      </c>
      <c r="L406" s="14">
        <f t="shared" si="126"/>
        <v>51902.3</v>
      </c>
      <c r="M406" s="14">
        <f t="shared" si="126"/>
        <v>51919.6</v>
      </c>
      <c r="N406" s="14">
        <f t="shared" si="126"/>
        <v>54695.6</v>
      </c>
      <c r="O406" s="14">
        <f t="shared" si="126"/>
        <v>54695.6</v>
      </c>
      <c r="P406" s="57">
        <f t="shared" si="109"/>
        <v>-161310.79999999993</v>
      </c>
      <c r="Q406" s="18">
        <f t="shared" si="115"/>
        <v>0</v>
      </c>
    </row>
    <row r="407" spans="1:18" s="31" customFormat="1" ht="158.25" outlineLevel="3">
      <c r="A407" s="67"/>
      <c r="B407" s="54" t="s">
        <v>541</v>
      </c>
      <c r="C407" s="55" t="s">
        <v>119</v>
      </c>
      <c r="D407" s="55" t="s">
        <v>394</v>
      </c>
      <c r="E407" s="11" t="s">
        <v>591</v>
      </c>
      <c r="F407" s="56">
        <f t="shared" si="108"/>
        <v>366616.39999999997</v>
      </c>
      <c r="G407" s="14">
        <v>31691.8</v>
      </c>
      <c r="H407" s="14">
        <v>37892.6</v>
      </c>
      <c r="I407" s="14">
        <v>39019.8</v>
      </c>
      <c r="J407" s="14">
        <v>41805.8</v>
      </c>
      <c r="K407" s="14">
        <v>38940</v>
      </c>
      <c r="L407" s="14">
        <v>43642.1</v>
      </c>
      <c r="M407" s="14">
        <v>43616.1</v>
      </c>
      <c r="N407" s="14">
        <v>45004.1</v>
      </c>
      <c r="O407" s="14">
        <v>45004.1</v>
      </c>
      <c r="P407" s="57">
        <f t="shared" si="109"/>
        <v>-133624.29999999996</v>
      </c>
      <c r="Q407" s="18">
        <f t="shared" si="115"/>
        <v>0</v>
      </c>
      <c r="R407" s="16"/>
    </row>
    <row r="408" spans="1:18" s="31" customFormat="1" ht="224.25" outlineLevel="3">
      <c r="A408" s="69"/>
      <c r="B408" s="59"/>
      <c r="C408" s="55" t="s">
        <v>119</v>
      </c>
      <c r="D408" s="55" t="s">
        <v>394</v>
      </c>
      <c r="E408" s="11" t="s">
        <v>583</v>
      </c>
      <c r="F408" s="56">
        <f t="shared" si="108"/>
        <v>70067.40000000001</v>
      </c>
      <c r="G408" s="14">
        <f>6252.7+83.4</f>
        <v>6336.099999999999</v>
      </c>
      <c r="H408" s="14">
        <v>6393.7</v>
      </c>
      <c r="I408" s="14">
        <v>6590.1</v>
      </c>
      <c r="J408" s="14">
        <v>7033.9</v>
      </c>
      <c r="K408" s="14">
        <v>7766.9</v>
      </c>
      <c r="L408" s="14">
        <v>8260.2</v>
      </c>
      <c r="M408" s="14">
        <v>8303.5</v>
      </c>
      <c r="N408" s="14">
        <v>9691.5</v>
      </c>
      <c r="O408" s="14">
        <v>9691.5</v>
      </c>
      <c r="P408" s="57">
        <f t="shared" si="109"/>
        <v>-27686.500000000015</v>
      </c>
      <c r="Q408" s="18">
        <f t="shared" si="115"/>
        <v>0</v>
      </c>
      <c r="R408" s="16"/>
    </row>
    <row r="409" spans="1:18" s="31" customFormat="1" ht="154.5" customHeight="1" outlineLevel="3">
      <c r="A409" s="69"/>
      <c r="B409" s="59"/>
      <c r="C409" s="55" t="s">
        <v>119</v>
      </c>
      <c r="D409" s="55" t="s">
        <v>394</v>
      </c>
      <c r="E409" s="11" t="s">
        <v>355</v>
      </c>
      <c r="F409" s="56">
        <f t="shared" si="108"/>
        <v>4140.3</v>
      </c>
      <c r="G409" s="14">
        <v>4140.3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57">
        <f t="shared" si="109"/>
        <v>0</v>
      </c>
      <c r="Q409" s="18">
        <f t="shared" si="115"/>
        <v>0</v>
      </c>
      <c r="R409" s="16"/>
    </row>
    <row r="410" spans="1:17" ht="44.25" customHeight="1" outlineLevel="2">
      <c r="A410" s="67" t="s">
        <v>464</v>
      </c>
      <c r="B410" s="54" t="s">
        <v>508</v>
      </c>
      <c r="C410" s="86" t="s">
        <v>143</v>
      </c>
      <c r="D410" s="55" t="s">
        <v>465</v>
      </c>
      <c r="E410" s="11" t="s">
        <v>244</v>
      </c>
      <c r="F410" s="56">
        <f aca="true" t="shared" si="127" ref="F410:F467">G410+H410+I410+J410+K410+L410+M410+N410+O410</f>
        <v>50</v>
      </c>
      <c r="G410" s="14">
        <v>0</v>
      </c>
      <c r="H410" s="14">
        <v>0</v>
      </c>
      <c r="I410" s="14">
        <f>I411</f>
        <v>15</v>
      </c>
      <c r="J410" s="14">
        <f>J411</f>
        <v>10</v>
      </c>
      <c r="K410" s="14">
        <f>K411</f>
        <v>25</v>
      </c>
      <c r="L410" s="14">
        <v>0</v>
      </c>
      <c r="M410" s="14">
        <v>0</v>
      </c>
      <c r="N410" s="14">
        <v>0</v>
      </c>
      <c r="O410" s="14">
        <v>0</v>
      </c>
      <c r="P410" s="57">
        <f aca="true" t="shared" si="128" ref="P410:P467">L410+K410+J410+I410+H410+G410-F410</f>
        <v>0</v>
      </c>
      <c r="Q410" s="18">
        <f t="shared" si="115"/>
        <v>0</v>
      </c>
    </row>
    <row r="411" spans="1:17" ht="44.25" customHeight="1" outlineLevel="2">
      <c r="A411" s="68"/>
      <c r="B411" s="61"/>
      <c r="C411" s="55" t="s">
        <v>143</v>
      </c>
      <c r="D411" s="55" t="s">
        <v>465</v>
      </c>
      <c r="E411" s="11" t="s">
        <v>407</v>
      </c>
      <c r="F411" s="56">
        <f t="shared" si="127"/>
        <v>50</v>
      </c>
      <c r="G411" s="14">
        <v>0</v>
      </c>
      <c r="H411" s="14">
        <v>0</v>
      </c>
      <c r="I411" s="14">
        <v>15</v>
      </c>
      <c r="J411" s="14">
        <v>10</v>
      </c>
      <c r="K411" s="14">
        <v>25</v>
      </c>
      <c r="L411" s="14">
        <v>0</v>
      </c>
      <c r="M411" s="14">
        <v>0</v>
      </c>
      <c r="N411" s="14">
        <v>0</v>
      </c>
      <c r="O411" s="14">
        <v>0</v>
      </c>
      <c r="P411" s="57">
        <f t="shared" si="128"/>
        <v>0</v>
      </c>
      <c r="Q411" s="18">
        <f t="shared" si="115"/>
        <v>0</v>
      </c>
    </row>
    <row r="412" spans="1:17" ht="51.75" customHeight="1" outlineLevel="1">
      <c r="A412" s="123" t="s">
        <v>263</v>
      </c>
      <c r="B412" s="127" t="s">
        <v>476</v>
      </c>
      <c r="C412" s="55" t="s">
        <v>119</v>
      </c>
      <c r="D412" s="55" t="s">
        <v>121</v>
      </c>
      <c r="E412" s="11" t="s">
        <v>244</v>
      </c>
      <c r="F412" s="56">
        <f t="shared" si="127"/>
        <v>5340.299999999999</v>
      </c>
      <c r="G412" s="14">
        <f aca="true" t="shared" si="129" ref="G412:O412">G413</f>
        <v>1454</v>
      </c>
      <c r="H412" s="14">
        <f t="shared" si="129"/>
        <v>724.1</v>
      </c>
      <c r="I412" s="14">
        <f t="shared" si="129"/>
        <v>263.2</v>
      </c>
      <c r="J412" s="14">
        <f t="shared" si="129"/>
        <v>1036.3</v>
      </c>
      <c r="K412" s="14">
        <f t="shared" si="129"/>
        <v>213.5</v>
      </c>
      <c r="L412" s="14">
        <f t="shared" si="129"/>
        <v>1649.2</v>
      </c>
      <c r="M412" s="14">
        <f t="shared" si="129"/>
        <v>0</v>
      </c>
      <c r="N412" s="14">
        <f t="shared" si="129"/>
        <v>0</v>
      </c>
      <c r="O412" s="14">
        <f t="shared" si="129"/>
        <v>0</v>
      </c>
      <c r="P412" s="57">
        <f t="shared" si="128"/>
        <v>0</v>
      </c>
      <c r="Q412" s="18">
        <f t="shared" si="115"/>
        <v>0</v>
      </c>
    </row>
    <row r="413" spans="1:17" ht="29.25" customHeight="1" outlineLevel="1">
      <c r="A413" s="124"/>
      <c r="B413" s="128"/>
      <c r="C413" s="55" t="s">
        <v>119</v>
      </c>
      <c r="D413" s="55" t="s">
        <v>121</v>
      </c>
      <c r="E413" s="11" t="s">
        <v>225</v>
      </c>
      <c r="F413" s="56">
        <f t="shared" si="127"/>
        <v>5340.299999999999</v>
      </c>
      <c r="G413" s="14">
        <f aca="true" t="shared" si="130" ref="G413:O413">G416</f>
        <v>1454</v>
      </c>
      <c r="H413" s="14">
        <f t="shared" si="130"/>
        <v>724.1</v>
      </c>
      <c r="I413" s="14">
        <f t="shared" si="130"/>
        <v>263.2</v>
      </c>
      <c r="J413" s="14">
        <f t="shared" si="130"/>
        <v>1036.3</v>
      </c>
      <c r="K413" s="14">
        <f t="shared" si="130"/>
        <v>213.5</v>
      </c>
      <c r="L413" s="14">
        <f t="shared" si="130"/>
        <v>1649.2</v>
      </c>
      <c r="M413" s="14">
        <f t="shared" si="130"/>
        <v>0</v>
      </c>
      <c r="N413" s="14">
        <f t="shared" si="130"/>
        <v>0</v>
      </c>
      <c r="O413" s="14">
        <f t="shared" si="130"/>
        <v>0</v>
      </c>
      <c r="P413" s="57">
        <f t="shared" si="128"/>
        <v>0</v>
      </c>
      <c r="Q413" s="18">
        <f t="shared" si="115"/>
        <v>0</v>
      </c>
    </row>
    <row r="414" spans="1:17" ht="45.75" customHeight="1" hidden="1" outlineLevel="1">
      <c r="A414" s="64"/>
      <c r="B414" s="112"/>
      <c r="C414" s="55"/>
      <c r="D414" s="55"/>
      <c r="E414" s="11" t="s">
        <v>19</v>
      </c>
      <c r="F414" s="56">
        <f t="shared" si="127"/>
        <v>0</v>
      </c>
      <c r="G414" s="14"/>
      <c r="H414" s="14"/>
      <c r="I414" s="14"/>
      <c r="J414" s="14"/>
      <c r="K414" s="14"/>
      <c r="L414" s="14"/>
      <c r="M414" s="14"/>
      <c r="N414" s="14"/>
      <c r="O414" s="14"/>
      <c r="P414" s="57">
        <f t="shared" si="128"/>
        <v>0</v>
      </c>
      <c r="Q414" s="18">
        <f t="shared" si="115"/>
        <v>0</v>
      </c>
    </row>
    <row r="415" spans="1:18" s="40" customFormat="1" ht="37.5" customHeight="1" outlineLevel="2">
      <c r="A415" s="123" t="s">
        <v>264</v>
      </c>
      <c r="B415" s="127" t="s">
        <v>463</v>
      </c>
      <c r="C415" s="55" t="s">
        <v>119</v>
      </c>
      <c r="D415" s="55" t="s">
        <v>122</v>
      </c>
      <c r="E415" s="11" t="s">
        <v>244</v>
      </c>
      <c r="F415" s="56">
        <f t="shared" si="127"/>
        <v>5340.299999999999</v>
      </c>
      <c r="G415" s="14">
        <f aca="true" t="shared" si="131" ref="G415:O415">G416</f>
        <v>1454</v>
      </c>
      <c r="H415" s="14">
        <f t="shared" si="131"/>
        <v>724.1</v>
      </c>
      <c r="I415" s="14">
        <f t="shared" si="131"/>
        <v>263.2</v>
      </c>
      <c r="J415" s="14">
        <f t="shared" si="131"/>
        <v>1036.3</v>
      </c>
      <c r="K415" s="14">
        <f t="shared" si="131"/>
        <v>213.5</v>
      </c>
      <c r="L415" s="14">
        <f t="shared" si="131"/>
        <v>1649.2</v>
      </c>
      <c r="M415" s="14">
        <f t="shared" si="131"/>
        <v>0</v>
      </c>
      <c r="N415" s="14">
        <f t="shared" si="131"/>
        <v>0</v>
      </c>
      <c r="O415" s="14">
        <f t="shared" si="131"/>
        <v>0</v>
      </c>
      <c r="P415" s="57">
        <f t="shared" si="128"/>
        <v>0</v>
      </c>
      <c r="Q415" s="18">
        <f t="shared" si="115"/>
        <v>0</v>
      </c>
      <c r="R415" s="39"/>
    </row>
    <row r="416" spans="1:18" s="40" customFormat="1" ht="68.25" customHeight="1" outlineLevel="2">
      <c r="A416" s="124"/>
      <c r="B416" s="128"/>
      <c r="C416" s="55" t="s">
        <v>119</v>
      </c>
      <c r="D416" s="55" t="s">
        <v>122</v>
      </c>
      <c r="E416" s="11" t="s">
        <v>225</v>
      </c>
      <c r="F416" s="56">
        <f t="shared" si="127"/>
        <v>5340.299999999999</v>
      </c>
      <c r="G416" s="14">
        <f aca="true" t="shared" si="132" ref="G416:O416">G440+G456+G459</f>
        <v>1454</v>
      </c>
      <c r="H416" s="14">
        <f t="shared" si="132"/>
        <v>724.1</v>
      </c>
      <c r="I416" s="14">
        <f t="shared" si="132"/>
        <v>263.2</v>
      </c>
      <c r="J416" s="14">
        <f>896.9+139.4</f>
        <v>1036.3</v>
      </c>
      <c r="K416" s="14">
        <v>213.5</v>
      </c>
      <c r="L416" s="14">
        <v>1649.2</v>
      </c>
      <c r="M416" s="14">
        <f t="shared" si="132"/>
        <v>0</v>
      </c>
      <c r="N416" s="14">
        <f t="shared" si="132"/>
        <v>0</v>
      </c>
      <c r="O416" s="14">
        <f t="shared" si="132"/>
        <v>0</v>
      </c>
      <c r="P416" s="57">
        <f t="shared" si="128"/>
        <v>0</v>
      </c>
      <c r="Q416" s="18">
        <f t="shared" si="115"/>
        <v>0</v>
      </c>
      <c r="R416" s="39"/>
    </row>
    <row r="417" spans="1:18" s="40" customFormat="1" ht="44.25" customHeight="1" hidden="1" outlineLevel="2">
      <c r="A417" s="64"/>
      <c r="B417" s="112"/>
      <c r="C417" s="55"/>
      <c r="D417" s="55"/>
      <c r="E417" s="11" t="s">
        <v>20</v>
      </c>
      <c r="F417" s="56">
        <f t="shared" si="127"/>
        <v>0</v>
      </c>
      <c r="G417" s="14"/>
      <c r="H417" s="14"/>
      <c r="I417" s="14"/>
      <c r="J417" s="14"/>
      <c r="K417" s="14"/>
      <c r="L417" s="14"/>
      <c r="M417" s="14"/>
      <c r="N417" s="14"/>
      <c r="O417" s="14"/>
      <c r="P417" s="57">
        <f t="shared" si="128"/>
        <v>0</v>
      </c>
      <c r="Q417" s="18">
        <f t="shared" si="115"/>
        <v>0</v>
      </c>
      <c r="R417" s="39"/>
    </row>
    <row r="418" spans="1:17" ht="12.75" hidden="1" outlineLevel="3">
      <c r="A418" s="64"/>
      <c r="B418" s="112" t="s">
        <v>23</v>
      </c>
      <c r="C418" s="55"/>
      <c r="D418" s="55"/>
      <c r="E418" s="11" t="s">
        <v>11</v>
      </c>
      <c r="F418" s="56">
        <f t="shared" si="127"/>
        <v>0</v>
      </c>
      <c r="G418" s="14">
        <v>0</v>
      </c>
      <c r="H418" s="14"/>
      <c r="I418" s="14"/>
      <c r="J418" s="14"/>
      <c r="K418" s="14"/>
      <c r="L418" s="14"/>
      <c r="M418" s="14"/>
      <c r="N418" s="14"/>
      <c r="O418" s="14"/>
      <c r="P418" s="57">
        <f t="shared" si="128"/>
        <v>0</v>
      </c>
      <c r="Q418" s="18">
        <f t="shared" si="115"/>
        <v>0</v>
      </c>
    </row>
    <row r="419" spans="1:17" ht="52.5" hidden="1" outlineLevel="3">
      <c r="A419" s="64"/>
      <c r="B419" s="112" t="s">
        <v>279</v>
      </c>
      <c r="C419" s="55"/>
      <c r="D419" s="55"/>
      <c r="E419" s="11" t="s">
        <v>9</v>
      </c>
      <c r="F419" s="56">
        <f t="shared" si="127"/>
        <v>0</v>
      </c>
      <c r="G419" s="14"/>
      <c r="H419" s="14"/>
      <c r="I419" s="14"/>
      <c r="J419" s="14"/>
      <c r="K419" s="14"/>
      <c r="L419" s="14"/>
      <c r="M419" s="14"/>
      <c r="N419" s="14"/>
      <c r="O419" s="14"/>
      <c r="P419" s="57">
        <f t="shared" si="128"/>
        <v>0</v>
      </c>
      <c r="Q419" s="18">
        <f t="shared" si="115"/>
        <v>0</v>
      </c>
    </row>
    <row r="420" spans="1:17" ht="39" hidden="1" outlineLevel="3">
      <c r="A420" s="64"/>
      <c r="B420" s="112" t="s">
        <v>280</v>
      </c>
      <c r="C420" s="55"/>
      <c r="D420" s="55"/>
      <c r="E420" s="11" t="s">
        <v>11</v>
      </c>
      <c r="F420" s="56">
        <f t="shared" si="127"/>
        <v>0</v>
      </c>
      <c r="G420" s="14"/>
      <c r="H420" s="14"/>
      <c r="I420" s="14"/>
      <c r="J420" s="14"/>
      <c r="K420" s="14"/>
      <c r="L420" s="14"/>
      <c r="M420" s="14"/>
      <c r="N420" s="14"/>
      <c r="O420" s="14"/>
      <c r="P420" s="57">
        <f t="shared" si="128"/>
        <v>0</v>
      </c>
      <c r="Q420" s="18">
        <f t="shared" si="115"/>
        <v>0</v>
      </c>
    </row>
    <row r="421" spans="1:17" ht="12.75" hidden="1" outlineLevel="3">
      <c r="A421" s="64"/>
      <c r="B421" s="112" t="s">
        <v>24</v>
      </c>
      <c r="C421" s="55"/>
      <c r="D421" s="55"/>
      <c r="E421" s="11" t="s">
        <v>25</v>
      </c>
      <c r="F421" s="56">
        <f t="shared" si="127"/>
        <v>0</v>
      </c>
      <c r="G421" s="14"/>
      <c r="H421" s="14"/>
      <c r="I421" s="14"/>
      <c r="J421" s="14"/>
      <c r="K421" s="14"/>
      <c r="L421" s="14"/>
      <c r="M421" s="14"/>
      <c r="N421" s="14"/>
      <c r="O421" s="14"/>
      <c r="P421" s="57">
        <f t="shared" si="128"/>
        <v>0</v>
      </c>
      <c r="Q421" s="18">
        <f t="shared" si="115"/>
        <v>0</v>
      </c>
    </row>
    <row r="422" spans="1:17" ht="12.75" hidden="1" outlineLevel="3">
      <c r="A422" s="64"/>
      <c r="B422" s="112" t="s">
        <v>41</v>
      </c>
      <c r="C422" s="55"/>
      <c r="D422" s="55"/>
      <c r="E422" s="11" t="s">
        <v>11</v>
      </c>
      <c r="F422" s="56">
        <f t="shared" si="127"/>
        <v>0</v>
      </c>
      <c r="G422" s="14"/>
      <c r="H422" s="14"/>
      <c r="I422" s="14"/>
      <c r="J422" s="14"/>
      <c r="K422" s="14"/>
      <c r="L422" s="14"/>
      <c r="M422" s="14"/>
      <c r="N422" s="14"/>
      <c r="O422" s="14"/>
      <c r="P422" s="57">
        <f t="shared" si="128"/>
        <v>0</v>
      </c>
      <c r="Q422" s="18">
        <f t="shared" si="115"/>
        <v>0</v>
      </c>
    </row>
    <row r="423" spans="1:17" ht="21.75" customHeight="1" hidden="1" outlineLevel="3">
      <c r="A423" s="64"/>
      <c r="B423" s="112"/>
      <c r="C423" s="55"/>
      <c r="D423" s="55"/>
      <c r="E423" s="11"/>
      <c r="F423" s="56">
        <f t="shared" si="127"/>
        <v>0</v>
      </c>
      <c r="G423" s="14"/>
      <c r="H423" s="14"/>
      <c r="I423" s="14"/>
      <c r="J423" s="14"/>
      <c r="K423" s="14"/>
      <c r="L423" s="14"/>
      <c r="M423" s="14"/>
      <c r="N423" s="14"/>
      <c r="O423" s="14"/>
      <c r="P423" s="57">
        <f t="shared" si="128"/>
        <v>0</v>
      </c>
      <c r="Q423" s="18">
        <f t="shared" si="115"/>
        <v>0</v>
      </c>
    </row>
    <row r="424" spans="1:17" ht="12.75" hidden="1" outlineLevel="3">
      <c r="A424" s="64"/>
      <c r="B424" s="112"/>
      <c r="C424" s="55"/>
      <c r="D424" s="55"/>
      <c r="E424" s="11"/>
      <c r="F424" s="56">
        <f t="shared" si="127"/>
        <v>0</v>
      </c>
      <c r="G424" s="14"/>
      <c r="H424" s="14"/>
      <c r="I424" s="14"/>
      <c r="J424" s="14"/>
      <c r="K424" s="14"/>
      <c r="L424" s="14"/>
      <c r="M424" s="14"/>
      <c r="N424" s="14"/>
      <c r="O424" s="14"/>
      <c r="P424" s="57">
        <f t="shared" si="128"/>
        <v>0</v>
      </c>
      <c r="Q424" s="18">
        <f t="shared" si="115"/>
        <v>0</v>
      </c>
    </row>
    <row r="425" spans="1:18" s="40" customFormat="1" ht="26.25" hidden="1" outlineLevel="2">
      <c r="A425" s="64"/>
      <c r="B425" s="112" t="s">
        <v>15</v>
      </c>
      <c r="C425" s="55"/>
      <c r="D425" s="55"/>
      <c r="E425" s="11" t="s">
        <v>1</v>
      </c>
      <c r="F425" s="56">
        <f t="shared" si="127"/>
        <v>0</v>
      </c>
      <c r="G425" s="14">
        <f>G426</f>
        <v>0</v>
      </c>
      <c r="H425" s="14"/>
      <c r="I425" s="14"/>
      <c r="J425" s="14"/>
      <c r="K425" s="14"/>
      <c r="L425" s="14"/>
      <c r="M425" s="14"/>
      <c r="N425" s="14"/>
      <c r="O425" s="14"/>
      <c r="P425" s="57">
        <f t="shared" si="128"/>
        <v>0</v>
      </c>
      <c r="Q425" s="18">
        <f t="shared" si="115"/>
        <v>0</v>
      </c>
      <c r="R425" s="39"/>
    </row>
    <row r="426" spans="1:18" s="40" customFormat="1" ht="12.75" hidden="1" outlineLevel="2">
      <c r="A426" s="64"/>
      <c r="B426" s="112"/>
      <c r="C426" s="55"/>
      <c r="D426" s="55"/>
      <c r="E426" s="11" t="s">
        <v>2</v>
      </c>
      <c r="F426" s="56">
        <f t="shared" si="127"/>
        <v>0</v>
      </c>
      <c r="G426" s="14">
        <f>SUM(G427:G429)</f>
        <v>0</v>
      </c>
      <c r="H426" s="14"/>
      <c r="I426" s="14"/>
      <c r="J426" s="14"/>
      <c r="K426" s="14"/>
      <c r="L426" s="14"/>
      <c r="M426" s="14"/>
      <c r="N426" s="14"/>
      <c r="O426" s="14"/>
      <c r="P426" s="57">
        <f t="shared" si="128"/>
        <v>0</v>
      </c>
      <c r="Q426" s="18">
        <f t="shared" si="115"/>
        <v>0</v>
      </c>
      <c r="R426" s="39"/>
    </row>
    <row r="427" spans="1:17" ht="12.75" hidden="1" outlineLevel="3">
      <c r="A427" s="64"/>
      <c r="B427" s="112" t="s">
        <v>14</v>
      </c>
      <c r="C427" s="55"/>
      <c r="D427" s="55"/>
      <c r="E427" s="11" t="s">
        <v>9</v>
      </c>
      <c r="F427" s="56">
        <f t="shared" si="127"/>
        <v>0</v>
      </c>
      <c r="G427" s="14"/>
      <c r="H427" s="14"/>
      <c r="I427" s="14"/>
      <c r="J427" s="14"/>
      <c r="K427" s="14"/>
      <c r="L427" s="14"/>
      <c r="M427" s="14"/>
      <c r="N427" s="14"/>
      <c r="O427" s="14"/>
      <c r="P427" s="57">
        <f t="shared" si="128"/>
        <v>0</v>
      </c>
      <c r="Q427" s="18">
        <f t="shared" si="115"/>
        <v>0</v>
      </c>
    </row>
    <row r="428" spans="1:17" ht="12.75" hidden="1" outlineLevel="3">
      <c r="A428" s="64"/>
      <c r="B428" s="112" t="s">
        <v>14</v>
      </c>
      <c r="C428" s="55"/>
      <c r="D428" s="55"/>
      <c r="E428" s="11" t="s">
        <v>10</v>
      </c>
      <c r="F428" s="56">
        <f t="shared" si="127"/>
        <v>0</v>
      </c>
      <c r="G428" s="14"/>
      <c r="H428" s="14"/>
      <c r="I428" s="14"/>
      <c r="J428" s="14"/>
      <c r="K428" s="14"/>
      <c r="L428" s="14"/>
      <c r="M428" s="14"/>
      <c r="N428" s="14"/>
      <c r="O428" s="14"/>
      <c r="P428" s="57">
        <f t="shared" si="128"/>
        <v>0</v>
      </c>
      <c r="Q428" s="18">
        <f t="shared" si="115"/>
        <v>0</v>
      </c>
    </row>
    <row r="429" spans="1:17" ht="12.75" hidden="1" outlineLevel="3">
      <c r="A429" s="64"/>
      <c r="B429" s="112"/>
      <c r="C429" s="55"/>
      <c r="D429" s="55"/>
      <c r="E429" s="11"/>
      <c r="F429" s="56">
        <f t="shared" si="127"/>
        <v>0</v>
      </c>
      <c r="G429" s="14"/>
      <c r="H429" s="14"/>
      <c r="I429" s="14"/>
      <c r="J429" s="14"/>
      <c r="K429" s="14"/>
      <c r="L429" s="14"/>
      <c r="M429" s="14"/>
      <c r="N429" s="14"/>
      <c r="O429" s="14"/>
      <c r="P429" s="57">
        <f t="shared" si="128"/>
        <v>0</v>
      </c>
      <c r="Q429" s="18">
        <f t="shared" si="115"/>
        <v>0</v>
      </c>
    </row>
    <row r="430" spans="1:18" s="40" customFormat="1" ht="39" hidden="1" outlineLevel="2">
      <c r="A430" s="64"/>
      <c r="B430" s="112" t="s">
        <v>16</v>
      </c>
      <c r="C430" s="55"/>
      <c r="D430" s="55"/>
      <c r="E430" s="11" t="s">
        <v>1</v>
      </c>
      <c r="F430" s="56">
        <f t="shared" si="127"/>
        <v>0</v>
      </c>
      <c r="G430" s="14">
        <f>G431</f>
        <v>0</v>
      </c>
      <c r="H430" s="14"/>
      <c r="I430" s="14"/>
      <c r="J430" s="14"/>
      <c r="K430" s="14"/>
      <c r="L430" s="14"/>
      <c r="M430" s="14"/>
      <c r="N430" s="14"/>
      <c r="O430" s="14"/>
      <c r="P430" s="57">
        <f t="shared" si="128"/>
        <v>0</v>
      </c>
      <c r="Q430" s="18">
        <f t="shared" si="115"/>
        <v>0</v>
      </c>
      <c r="R430" s="39"/>
    </row>
    <row r="431" spans="1:18" s="40" customFormat="1" ht="12.75" hidden="1" outlineLevel="2">
      <c r="A431" s="64"/>
      <c r="B431" s="112"/>
      <c r="C431" s="55"/>
      <c r="D431" s="55"/>
      <c r="E431" s="11" t="s">
        <v>2</v>
      </c>
      <c r="F431" s="56">
        <f t="shared" si="127"/>
        <v>0</v>
      </c>
      <c r="G431" s="14">
        <f>SUM(G432:G434)</f>
        <v>0</v>
      </c>
      <c r="H431" s="14"/>
      <c r="I431" s="14"/>
      <c r="J431" s="14"/>
      <c r="K431" s="14"/>
      <c r="L431" s="14"/>
      <c r="M431" s="14"/>
      <c r="N431" s="14"/>
      <c r="O431" s="14"/>
      <c r="P431" s="57">
        <f t="shared" si="128"/>
        <v>0</v>
      </c>
      <c r="Q431" s="18">
        <f t="shared" si="115"/>
        <v>0</v>
      </c>
      <c r="R431" s="39"/>
    </row>
    <row r="432" spans="1:17" ht="12.75" hidden="1" outlineLevel="3">
      <c r="A432" s="64"/>
      <c r="B432" s="112"/>
      <c r="C432" s="55"/>
      <c r="D432" s="55"/>
      <c r="E432" s="11"/>
      <c r="F432" s="56">
        <f t="shared" si="127"/>
        <v>0</v>
      </c>
      <c r="G432" s="14"/>
      <c r="H432" s="14"/>
      <c r="I432" s="14"/>
      <c r="J432" s="14"/>
      <c r="K432" s="14"/>
      <c r="L432" s="14"/>
      <c r="M432" s="14"/>
      <c r="N432" s="14"/>
      <c r="O432" s="14"/>
      <c r="P432" s="57">
        <f t="shared" si="128"/>
        <v>0</v>
      </c>
      <c r="Q432" s="18">
        <f t="shared" si="115"/>
        <v>0</v>
      </c>
    </row>
    <row r="433" spans="1:17" ht="12.75" hidden="1" outlineLevel="3">
      <c r="A433" s="64"/>
      <c r="B433" s="112"/>
      <c r="C433" s="55"/>
      <c r="D433" s="55"/>
      <c r="E433" s="11"/>
      <c r="F433" s="56">
        <f t="shared" si="127"/>
        <v>0</v>
      </c>
      <c r="G433" s="14"/>
      <c r="H433" s="14"/>
      <c r="I433" s="14"/>
      <c r="J433" s="14"/>
      <c r="K433" s="14"/>
      <c r="L433" s="14"/>
      <c r="M433" s="14"/>
      <c r="N433" s="14"/>
      <c r="O433" s="14"/>
      <c r="P433" s="57">
        <f t="shared" si="128"/>
        <v>0</v>
      </c>
      <c r="Q433" s="18">
        <f t="shared" si="115"/>
        <v>0</v>
      </c>
    </row>
    <row r="434" spans="1:17" ht="12.75" hidden="1" outlineLevel="3">
      <c r="A434" s="64"/>
      <c r="B434" s="112"/>
      <c r="C434" s="55"/>
      <c r="D434" s="55"/>
      <c r="E434" s="11"/>
      <c r="F434" s="56">
        <f t="shared" si="127"/>
        <v>0</v>
      </c>
      <c r="G434" s="14"/>
      <c r="H434" s="14"/>
      <c r="I434" s="14"/>
      <c r="J434" s="14"/>
      <c r="K434" s="14"/>
      <c r="L434" s="14"/>
      <c r="M434" s="14"/>
      <c r="N434" s="14"/>
      <c r="O434" s="14"/>
      <c r="P434" s="57">
        <f t="shared" si="128"/>
        <v>0</v>
      </c>
      <c r="Q434" s="18">
        <f t="shared" si="115"/>
        <v>0</v>
      </c>
    </row>
    <row r="435" spans="1:18" s="40" customFormat="1" ht="39" hidden="1" outlineLevel="2">
      <c r="A435" s="64"/>
      <c r="B435" s="112" t="s">
        <v>17</v>
      </c>
      <c r="C435" s="55"/>
      <c r="D435" s="55"/>
      <c r="E435" s="11" t="s">
        <v>1</v>
      </c>
      <c r="F435" s="56">
        <f t="shared" si="127"/>
        <v>0</v>
      </c>
      <c r="G435" s="14">
        <f>G436</f>
        <v>0</v>
      </c>
      <c r="H435" s="14"/>
      <c r="I435" s="14"/>
      <c r="J435" s="14"/>
      <c r="K435" s="14"/>
      <c r="L435" s="14"/>
      <c r="M435" s="14"/>
      <c r="N435" s="14"/>
      <c r="O435" s="14"/>
      <c r="P435" s="57">
        <f t="shared" si="128"/>
        <v>0</v>
      </c>
      <c r="Q435" s="18">
        <f t="shared" si="115"/>
        <v>0</v>
      </c>
      <c r="R435" s="39"/>
    </row>
    <row r="436" spans="1:18" s="40" customFormat="1" ht="12.75" hidden="1" outlineLevel="2">
      <c r="A436" s="64"/>
      <c r="B436" s="112"/>
      <c r="C436" s="55"/>
      <c r="D436" s="55"/>
      <c r="E436" s="11" t="s">
        <v>2</v>
      </c>
      <c r="F436" s="56">
        <f t="shared" si="127"/>
        <v>0</v>
      </c>
      <c r="G436" s="14">
        <f>SUM(G437:G438)</f>
        <v>0</v>
      </c>
      <c r="H436" s="14"/>
      <c r="I436" s="14"/>
      <c r="J436" s="14"/>
      <c r="K436" s="14"/>
      <c r="L436" s="14"/>
      <c r="M436" s="14"/>
      <c r="N436" s="14"/>
      <c r="O436" s="14"/>
      <c r="P436" s="57">
        <f t="shared" si="128"/>
        <v>0</v>
      </c>
      <c r="Q436" s="18">
        <f t="shared" si="115"/>
        <v>0</v>
      </c>
      <c r="R436" s="39"/>
    </row>
    <row r="437" spans="1:17" ht="12.75" hidden="1" outlineLevel="3">
      <c r="A437" s="64"/>
      <c r="B437" s="112"/>
      <c r="C437" s="55"/>
      <c r="D437" s="55"/>
      <c r="E437" s="11"/>
      <c r="F437" s="56">
        <f t="shared" si="127"/>
        <v>0</v>
      </c>
      <c r="G437" s="14"/>
      <c r="H437" s="14"/>
      <c r="I437" s="14"/>
      <c r="J437" s="14"/>
      <c r="K437" s="14"/>
      <c r="L437" s="14"/>
      <c r="M437" s="14"/>
      <c r="N437" s="14"/>
      <c r="O437" s="14"/>
      <c r="P437" s="57">
        <f t="shared" si="128"/>
        <v>0</v>
      </c>
      <c r="Q437" s="18">
        <f t="shared" si="115"/>
        <v>0</v>
      </c>
    </row>
    <row r="438" spans="1:17" ht="10.5" customHeight="1" hidden="1" outlineLevel="3">
      <c r="A438" s="64"/>
      <c r="B438" s="112"/>
      <c r="C438" s="55"/>
      <c r="D438" s="55"/>
      <c r="E438" s="11"/>
      <c r="F438" s="56">
        <f t="shared" si="127"/>
        <v>0</v>
      </c>
      <c r="G438" s="14"/>
      <c r="H438" s="14"/>
      <c r="I438" s="14"/>
      <c r="J438" s="14"/>
      <c r="K438" s="14"/>
      <c r="L438" s="14"/>
      <c r="M438" s="14"/>
      <c r="N438" s="14"/>
      <c r="O438" s="14"/>
      <c r="P438" s="57">
        <f t="shared" si="128"/>
        <v>0</v>
      </c>
      <c r="Q438" s="18">
        <f t="shared" si="115"/>
        <v>0</v>
      </c>
    </row>
    <row r="439" spans="1:17" ht="12.75" hidden="1" outlineLevel="2">
      <c r="A439" s="123" t="s">
        <v>123</v>
      </c>
      <c r="B439" s="127" t="s">
        <v>64</v>
      </c>
      <c r="C439" s="55" t="s">
        <v>119</v>
      </c>
      <c r="D439" s="55" t="s">
        <v>122</v>
      </c>
      <c r="E439" s="11" t="s">
        <v>244</v>
      </c>
      <c r="F439" s="56">
        <f t="shared" si="127"/>
        <v>2945.3</v>
      </c>
      <c r="G439" s="14">
        <f aca="true" t="shared" si="133" ref="G439:L439">G440</f>
        <v>1190.3999999999999</v>
      </c>
      <c r="H439" s="14">
        <f t="shared" si="133"/>
        <v>614</v>
      </c>
      <c r="I439" s="14">
        <f t="shared" si="133"/>
        <v>36.4</v>
      </c>
      <c r="J439" s="14">
        <f t="shared" si="133"/>
        <v>1104.5</v>
      </c>
      <c r="K439" s="14">
        <f t="shared" si="133"/>
        <v>0</v>
      </c>
      <c r="L439" s="14">
        <f t="shared" si="133"/>
        <v>0</v>
      </c>
      <c r="M439" s="14"/>
      <c r="N439" s="14"/>
      <c r="O439" s="14"/>
      <c r="P439" s="57">
        <f t="shared" si="128"/>
        <v>0</v>
      </c>
      <c r="Q439" s="18">
        <f t="shared" si="115"/>
        <v>0</v>
      </c>
    </row>
    <row r="440" spans="1:17" ht="12.75" hidden="1" outlineLevel="2">
      <c r="A440" s="124"/>
      <c r="B440" s="128"/>
      <c r="C440" s="55" t="s">
        <v>119</v>
      </c>
      <c r="D440" s="55" t="s">
        <v>122</v>
      </c>
      <c r="E440" s="11" t="s">
        <v>225</v>
      </c>
      <c r="F440" s="56">
        <f t="shared" si="127"/>
        <v>2945.3</v>
      </c>
      <c r="G440" s="14">
        <f aca="true" t="shared" si="134" ref="G440:L440">G453+G452+G441+G443+G444+G442+G445+G446+G447+G448+G451+G454+G449+G450</f>
        <v>1190.3999999999999</v>
      </c>
      <c r="H440" s="14">
        <f t="shared" si="134"/>
        <v>614</v>
      </c>
      <c r="I440" s="14">
        <f t="shared" si="134"/>
        <v>36.4</v>
      </c>
      <c r="J440" s="14">
        <f t="shared" si="134"/>
        <v>1104.5</v>
      </c>
      <c r="K440" s="14">
        <f t="shared" si="134"/>
        <v>0</v>
      </c>
      <c r="L440" s="14">
        <f t="shared" si="134"/>
        <v>0</v>
      </c>
      <c r="M440" s="14"/>
      <c r="N440" s="14"/>
      <c r="O440" s="14"/>
      <c r="P440" s="57">
        <f t="shared" si="128"/>
        <v>0</v>
      </c>
      <c r="Q440" s="18">
        <f t="shared" si="115"/>
        <v>0</v>
      </c>
    </row>
    <row r="441" spans="1:17" ht="12.75" hidden="1" outlineLevel="2">
      <c r="A441" s="72"/>
      <c r="B441" s="111"/>
      <c r="C441" s="55"/>
      <c r="D441" s="55"/>
      <c r="E441" s="11"/>
      <c r="F441" s="56">
        <f t="shared" si="127"/>
        <v>0</v>
      </c>
      <c r="G441" s="14"/>
      <c r="H441" s="14"/>
      <c r="I441" s="14"/>
      <c r="J441" s="14"/>
      <c r="K441" s="14"/>
      <c r="L441" s="14"/>
      <c r="M441" s="14"/>
      <c r="N441" s="14"/>
      <c r="O441" s="14"/>
      <c r="P441" s="57">
        <f t="shared" si="128"/>
        <v>0</v>
      </c>
      <c r="Q441" s="18">
        <f t="shared" si="115"/>
        <v>0</v>
      </c>
    </row>
    <row r="442" spans="1:17" ht="26.25" hidden="1" outlineLevel="2">
      <c r="A442" s="72"/>
      <c r="B442" s="111" t="s">
        <v>348</v>
      </c>
      <c r="C442" s="55" t="s">
        <v>119</v>
      </c>
      <c r="D442" s="55" t="s">
        <v>122</v>
      </c>
      <c r="E442" s="11" t="s">
        <v>11</v>
      </c>
      <c r="F442" s="56">
        <f t="shared" si="127"/>
        <v>53.9</v>
      </c>
      <c r="G442" s="14"/>
      <c r="H442" s="14">
        <v>53.9</v>
      </c>
      <c r="I442" s="14"/>
      <c r="J442" s="14"/>
      <c r="K442" s="14"/>
      <c r="L442" s="14"/>
      <c r="M442" s="14"/>
      <c r="N442" s="14"/>
      <c r="O442" s="14"/>
      <c r="P442" s="57">
        <f t="shared" si="128"/>
        <v>0</v>
      </c>
      <c r="Q442" s="18">
        <f t="shared" si="115"/>
        <v>0</v>
      </c>
    </row>
    <row r="443" spans="1:17" ht="26.25" hidden="1" outlineLevel="2">
      <c r="A443" s="72"/>
      <c r="B443" s="111" t="s">
        <v>310</v>
      </c>
      <c r="C443" s="55" t="s">
        <v>119</v>
      </c>
      <c r="D443" s="55" t="s">
        <v>122</v>
      </c>
      <c r="E443" s="11" t="s">
        <v>22</v>
      </c>
      <c r="F443" s="56">
        <f t="shared" si="127"/>
        <v>126.3</v>
      </c>
      <c r="G443" s="14">
        <v>126.3</v>
      </c>
      <c r="H443" s="14"/>
      <c r="I443" s="14"/>
      <c r="J443" s="14"/>
      <c r="K443" s="14"/>
      <c r="L443" s="14"/>
      <c r="M443" s="14"/>
      <c r="N443" s="14"/>
      <c r="O443" s="14"/>
      <c r="P443" s="57">
        <f t="shared" si="128"/>
        <v>0</v>
      </c>
      <c r="Q443" s="18">
        <f t="shared" si="115"/>
        <v>0</v>
      </c>
    </row>
    <row r="444" spans="1:17" ht="12.75" hidden="1" outlineLevel="2">
      <c r="A444" s="72"/>
      <c r="B444" s="111" t="s">
        <v>311</v>
      </c>
      <c r="C444" s="55" t="s">
        <v>119</v>
      </c>
      <c r="D444" s="55" t="s">
        <v>122</v>
      </c>
      <c r="E444" s="11" t="s">
        <v>22</v>
      </c>
      <c r="F444" s="56">
        <f t="shared" si="127"/>
        <v>237.1</v>
      </c>
      <c r="G444" s="14">
        <v>237.1</v>
      </c>
      <c r="H444" s="14"/>
      <c r="I444" s="14"/>
      <c r="J444" s="14"/>
      <c r="K444" s="14"/>
      <c r="L444" s="14"/>
      <c r="M444" s="14"/>
      <c r="N444" s="14"/>
      <c r="O444" s="14"/>
      <c r="P444" s="57">
        <f t="shared" si="128"/>
        <v>0</v>
      </c>
      <c r="Q444" s="18">
        <f t="shared" si="115"/>
        <v>0</v>
      </c>
    </row>
    <row r="445" spans="1:17" ht="12.75" hidden="1" outlineLevel="2">
      <c r="A445" s="72"/>
      <c r="B445" s="111" t="s">
        <v>349</v>
      </c>
      <c r="C445" s="55" t="s">
        <v>119</v>
      </c>
      <c r="D445" s="55" t="s">
        <v>122</v>
      </c>
      <c r="E445" s="11" t="s">
        <v>22</v>
      </c>
      <c r="F445" s="56">
        <f t="shared" si="127"/>
        <v>107.10000000000001</v>
      </c>
      <c r="G445" s="14"/>
      <c r="H445" s="14">
        <f>115.4-8.3</f>
        <v>107.10000000000001</v>
      </c>
      <c r="I445" s="14"/>
      <c r="J445" s="14"/>
      <c r="K445" s="14"/>
      <c r="L445" s="14"/>
      <c r="M445" s="14"/>
      <c r="N445" s="14"/>
      <c r="O445" s="14"/>
      <c r="P445" s="57">
        <f t="shared" si="128"/>
        <v>0</v>
      </c>
      <c r="Q445" s="18">
        <f t="shared" si="115"/>
        <v>0</v>
      </c>
    </row>
    <row r="446" spans="1:17" ht="12.75" hidden="1" outlineLevel="2">
      <c r="A446" s="72"/>
      <c r="B446" s="111" t="s">
        <v>375</v>
      </c>
      <c r="C446" s="55" t="s">
        <v>119</v>
      </c>
      <c r="D446" s="55" t="s">
        <v>122</v>
      </c>
      <c r="E446" s="11" t="s">
        <v>22</v>
      </c>
      <c r="F446" s="56">
        <f t="shared" si="127"/>
        <v>156.7</v>
      </c>
      <c r="G446" s="14"/>
      <c r="H446" s="14">
        <v>156.7</v>
      </c>
      <c r="I446" s="14"/>
      <c r="J446" s="14"/>
      <c r="K446" s="14"/>
      <c r="L446" s="14"/>
      <c r="M446" s="14"/>
      <c r="N446" s="14"/>
      <c r="O446" s="14"/>
      <c r="P446" s="57">
        <f t="shared" si="128"/>
        <v>0</v>
      </c>
      <c r="Q446" s="18">
        <f t="shared" si="115"/>
        <v>0</v>
      </c>
    </row>
    <row r="447" spans="1:17" ht="12.75" hidden="1" outlineLevel="2">
      <c r="A447" s="72"/>
      <c r="B447" s="111" t="s">
        <v>376</v>
      </c>
      <c r="C447" s="55" t="s">
        <v>119</v>
      </c>
      <c r="D447" s="55" t="s">
        <v>122</v>
      </c>
      <c r="E447" s="11" t="s">
        <v>22</v>
      </c>
      <c r="F447" s="56">
        <f t="shared" si="127"/>
        <v>73.2</v>
      </c>
      <c r="G447" s="14"/>
      <c r="H447" s="14">
        <v>73.2</v>
      </c>
      <c r="I447" s="14"/>
      <c r="J447" s="14"/>
      <c r="K447" s="14"/>
      <c r="L447" s="14"/>
      <c r="M447" s="14"/>
      <c r="N447" s="14"/>
      <c r="O447" s="14"/>
      <c r="P447" s="57">
        <f t="shared" si="128"/>
        <v>0</v>
      </c>
      <c r="Q447" s="18">
        <f t="shared" si="115"/>
        <v>0</v>
      </c>
    </row>
    <row r="448" spans="1:17" ht="39" hidden="1" outlineLevel="2">
      <c r="A448" s="72"/>
      <c r="B448" s="111" t="s">
        <v>377</v>
      </c>
      <c r="C448" s="55" t="s">
        <v>119</v>
      </c>
      <c r="D448" s="55" t="s">
        <v>122</v>
      </c>
      <c r="E448" s="11" t="s">
        <v>22</v>
      </c>
      <c r="F448" s="56">
        <f t="shared" si="127"/>
        <v>146.1</v>
      </c>
      <c r="G448" s="14"/>
      <c r="H448" s="14">
        <f>175.4-29.3</f>
        <v>146.1</v>
      </c>
      <c r="I448" s="14"/>
      <c r="J448" s="14"/>
      <c r="K448" s="14"/>
      <c r="L448" s="14"/>
      <c r="M448" s="14"/>
      <c r="N448" s="14"/>
      <c r="O448" s="14"/>
      <c r="P448" s="57">
        <f t="shared" si="128"/>
        <v>0</v>
      </c>
      <c r="Q448" s="18">
        <f t="shared" si="115"/>
        <v>0</v>
      </c>
    </row>
    <row r="449" spans="1:17" ht="12.75" hidden="1" outlineLevel="2">
      <c r="A449" s="72"/>
      <c r="B449" s="111" t="s">
        <v>474</v>
      </c>
      <c r="C449" s="55"/>
      <c r="D449" s="55"/>
      <c r="E449" s="11" t="s">
        <v>22</v>
      </c>
      <c r="F449" s="56">
        <f t="shared" si="127"/>
        <v>1050.6</v>
      </c>
      <c r="G449" s="14"/>
      <c r="H449" s="14"/>
      <c r="I449" s="14"/>
      <c r="J449" s="14">
        <v>1050.6</v>
      </c>
      <c r="K449" s="14"/>
      <c r="L449" s="14"/>
      <c r="M449" s="14"/>
      <c r="N449" s="14"/>
      <c r="O449" s="14"/>
      <c r="P449" s="57">
        <f t="shared" si="128"/>
        <v>0</v>
      </c>
      <c r="Q449" s="18">
        <f t="shared" si="115"/>
        <v>0</v>
      </c>
    </row>
    <row r="450" spans="1:17" ht="12.75" hidden="1" outlineLevel="2">
      <c r="A450" s="72"/>
      <c r="B450" s="111" t="s">
        <v>475</v>
      </c>
      <c r="C450" s="55"/>
      <c r="D450" s="55"/>
      <c r="E450" s="11" t="s">
        <v>22</v>
      </c>
      <c r="F450" s="56">
        <f t="shared" si="127"/>
        <v>53.9</v>
      </c>
      <c r="G450" s="14"/>
      <c r="H450" s="14"/>
      <c r="I450" s="14"/>
      <c r="J450" s="14">
        <v>53.9</v>
      </c>
      <c r="K450" s="14"/>
      <c r="L450" s="14"/>
      <c r="M450" s="14"/>
      <c r="N450" s="14"/>
      <c r="O450" s="14"/>
      <c r="P450" s="57">
        <f t="shared" si="128"/>
        <v>0</v>
      </c>
      <c r="Q450" s="18">
        <f aca="true" t="shared" si="135" ref="Q450:Q513">O450+N450+M450+L450+K450+J450+I450+H450+G450-F450</f>
        <v>0</v>
      </c>
    </row>
    <row r="451" spans="1:17" ht="12.75" hidden="1" outlineLevel="2">
      <c r="A451" s="72"/>
      <c r="B451" s="111" t="s">
        <v>378</v>
      </c>
      <c r="C451" s="55" t="s">
        <v>119</v>
      </c>
      <c r="D451" s="55" t="s">
        <v>122</v>
      </c>
      <c r="E451" s="11" t="s">
        <v>22</v>
      </c>
      <c r="F451" s="56">
        <f t="shared" si="127"/>
        <v>77</v>
      </c>
      <c r="G451" s="14"/>
      <c r="H451" s="14">
        <v>77</v>
      </c>
      <c r="I451" s="14"/>
      <c r="J451" s="14"/>
      <c r="K451" s="14"/>
      <c r="L451" s="14"/>
      <c r="M451" s="14"/>
      <c r="N451" s="14"/>
      <c r="O451" s="14"/>
      <c r="P451" s="57">
        <f t="shared" si="128"/>
        <v>0</v>
      </c>
      <c r="Q451" s="18">
        <f t="shared" si="135"/>
        <v>0</v>
      </c>
    </row>
    <row r="452" spans="1:17" ht="12.75" hidden="1" outlineLevel="2">
      <c r="A452" s="72"/>
      <c r="B452" s="112" t="s">
        <v>219</v>
      </c>
      <c r="C452" s="55" t="s">
        <v>119</v>
      </c>
      <c r="D452" s="55" t="s">
        <v>122</v>
      </c>
      <c r="E452" s="11" t="s">
        <v>120</v>
      </c>
      <c r="F452" s="56">
        <f t="shared" si="127"/>
        <v>759.4</v>
      </c>
      <c r="G452" s="14">
        <f>969-209.6</f>
        <v>759.4</v>
      </c>
      <c r="H452" s="14"/>
      <c r="I452" s="14"/>
      <c r="J452" s="14"/>
      <c r="K452" s="14"/>
      <c r="L452" s="14"/>
      <c r="M452" s="14"/>
      <c r="N452" s="14"/>
      <c r="O452" s="14"/>
      <c r="P452" s="57">
        <f t="shared" si="128"/>
        <v>0</v>
      </c>
      <c r="Q452" s="18">
        <f t="shared" si="135"/>
        <v>0</v>
      </c>
    </row>
    <row r="453" spans="1:17" ht="12.75" hidden="1" outlineLevel="3">
      <c r="A453" s="64"/>
      <c r="B453" s="109" t="s">
        <v>220</v>
      </c>
      <c r="C453" s="55" t="s">
        <v>119</v>
      </c>
      <c r="D453" s="55" t="s">
        <v>122</v>
      </c>
      <c r="E453" s="11" t="s">
        <v>22</v>
      </c>
      <c r="F453" s="56">
        <f t="shared" si="127"/>
        <v>67.6</v>
      </c>
      <c r="G453" s="14">
        <v>67.6</v>
      </c>
      <c r="H453" s="14"/>
      <c r="I453" s="14"/>
      <c r="J453" s="14"/>
      <c r="K453" s="14"/>
      <c r="L453" s="14"/>
      <c r="M453" s="14"/>
      <c r="N453" s="14"/>
      <c r="O453" s="14"/>
      <c r="P453" s="57">
        <f t="shared" si="128"/>
        <v>0</v>
      </c>
      <c r="Q453" s="18">
        <f t="shared" si="135"/>
        <v>0</v>
      </c>
    </row>
    <row r="454" spans="1:17" ht="12.75" hidden="1" outlineLevel="3">
      <c r="A454" s="64"/>
      <c r="B454" s="112" t="s">
        <v>419</v>
      </c>
      <c r="C454" s="55"/>
      <c r="D454" s="55"/>
      <c r="E454" s="11" t="s">
        <v>22</v>
      </c>
      <c r="F454" s="56">
        <f t="shared" si="127"/>
        <v>36.4</v>
      </c>
      <c r="G454" s="14"/>
      <c r="H454" s="14"/>
      <c r="I454" s="14">
        <v>36.4</v>
      </c>
      <c r="J454" s="14"/>
      <c r="K454" s="14"/>
      <c r="L454" s="14"/>
      <c r="M454" s="14"/>
      <c r="N454" s="14"/>
      <c r="O454" s="14"/>
      <c r="P454" s="57">
        <f t="shared" si="128"/>
        <v>0</v>
      </c>
      <c r="Q454" s="18">
        <f t="shared" si="135"/>
        <v>0</v>
      </c>
    </row>
    <row r="455" spans="1:17" ht="12.75" hidden="1" outlineLevel="3">
      <c r="A455" s="123" t="s">
        <v>124</v>
      </c>
      <c r="B455" s="127" t="s">
        <v>81</v>
      </c>
      <c r="C455" s="55" t="s">
        <v>119</v>
      </c>
      <c r="D455" s="55" t="s">
        <v>122</v>
      </c>
      <c r="E455" s="11" t="s">
        <v>244</v>
      </c>
      <c r="F455" s="56">
        <f t="shared" si="127"/>
        <v>0</v>
      </c>
      <c r="G455" s="14">
        <f aca="true" t="shared" si="136" ref="G455:L455">G456</f>
        <v>0</v>
      </c>
      <c r="H455" s="14">
        <f t="shared" si="136"/>
        <v>0</v>
      </c>
      <c r="I455" s="14">
        <f t="shared" si="136"/>
        <v>0</v>
      </c>
      <c r="J455" s="14">
        <f t="shared" si="136"/>
        <v>0</v>
      </c>
      <c r="K455" s="14">
        <f t="shared" si="136"/>
        <v>0</v>
      </c>
      <c r="L455" s="14">
        <f t="shared" si="136"/>
        <v>0</v>
      </c>
      <c r="M455" s="14"/>
      <c r="N455" s="14"/>
      <c r="O455" s="14"/>
      <c r="P455" s="57">
        <f t="shared" si="128"/>
        <v>0</v>
      </c>
      <c r="Q455" s="18">
        <f t="shared" si="135"/>
        <v>0</v>
      </c>
    </row>
    <row r="456" spans="1:17" ht="12.75" hidden="1" outlineLevel="3">
      <c r="A456" s="124"/>
      <c r="B456" s="128"/>
      <c r="C456" s="55" t="s">
        <v>119</v>
      </c>
      <c r="D456" s="55" t="s">
        <v>122</v>
      </c>
      <c r="E456" s="11" t="s">
        <v>225</v>
      </c>
      <c r="F456" s="56">
        <f t="shared" si="127"/>
        <v>0</v>
      </c>
      <c r="G456" s="14">
        <f aca="true" t="shared" si="137" ref="G456:L456">SUM(G457:G457)</f>
        <v>0</v>
      </c>
      <c r="H456" s="14">
        <f t="shared" si="137"/>
        <v>0</v>
      </c>
      <c r="I456" s="14">
        <f t="shared" si="137"/>
        <v>0</v>
      </c>
      <c r="J456" s="14">
        <f t="shared" si="137"/>
        <v>0</v>
      </c>
      <c r="K456" s="14">
        <f t="shared" si="137"/>
        <v>0</v>
      </c>
      <c r="L456" s="14">
        <f t="shared" si="137"/>
        <v>0</v>
      </c>
      <c r="M456" s="14"/>
      <c r="N456" s="14"/>
      <c r="O456" s="14"/>
      <c r="P456" s="57">
        <f t="shared" si="128"/>
        <v>0</v>
      </c>
      <c r="Q456" s="18">
        <f t="shared" si="135"/>
        <v>0</v>
      </c>
    </row>
    <row r="457" spans="1:17" ht="12.75" hidden="1" outlineLevel="3">
      <c r="A457" s="64"/>
      <c r="B457" s="112"/>
      <c r="C457" s="55"/>
      <c r="D457" s="55"/>
      <c r="E457" s="11"/>
      <c r="F457" s="56">
        <f t="shared" si="127"/>
        <v>0</v>
      </c>
      <c r="G457" s="14"/>
      <c r="H457" s="14"/>
      <c r="I457" s="14"/>
      <c r="J457" s="14"/>
      <c r="K457" s="14"/>
      <c r="L457" s="14"/>
      <c r="M457" s="14"/>
      <c r="N457" s="14"/>
      <c r="O457" s="14"/>
      <c r="P457" s="57">
        <f t="shared" si="128"/>
        <v>0</v>
      </c>
      <c r="Q457" s="18">
        <f t="shared" si="135"/>
        <v>0</v>
      </c>
    </row>
    <row r="458" spans="1:17" ht="51.75" customHeight="1" outlineLevel="3">
      <c r="A458" s="123" t="s">
        <v>421</v>
      </c>
      <c r="B458" s="127" t="s">
        <v>603</v>
      </c>
      <c r="C458" s="55" t="s">
        <v>119</v>
      </c>
      <c r="D458" s="55" t="s">
        <v>122</v>
      </c>
      <c r="E458" s="11" t="s">
        <v>244</v>
      </c>
      <c r="F458" s="56">
        <f t="shared" si="127"/>
        <v>600.5</v>
      </c>
      <c r="G458" s="14">
        <f aca="true" t="shared" si="138" ref="G458:O458">G459</f>
        <v>263.6</v>
      </c>
      <c r="H458" s="14">
        <f t="shared" si="138"/>
        <v>110.1</v>
      </c>
      <c r="I458" s="14">
        <f t="shared" si="138"/>
        <v>226.8</v>
      </c>
      <c r="J458" s="14">
        <f t="shared" si="138"/>
        <v>0</v>
      </c>
      <c r="K458" s="14">
        <f t="shared" si="138"/>
        <v>0</v>
      </c>
      <c r="L458" s="14">
        <f t="shared" si="138"/>
        <v>0</v>
      </c>
      <c r="M458" s="14">
        <f t="shared" si="138"/>
        <v>0</v>
      </c>
      <c r="N458" s="14">
        <f t="shared" si="138"/>
        <v>0</v>
      </c>
      <c r="O458" s="14">
        <f t="shared" si="138"/>
        <v>0</v>
      </c>
      <c r="P458" s="57">
        <f t="shared" si="128"/>
        <v>0</v>
      </c>
      <c r="Q458" s="18">
        <f t="shared" si="135"/>
        <v>0</v>
      </c>
    </row>
    <row r="459" spans="1:17" ht="69.75" customHeight="1" outlineLevel="3">
      <c r="A459" s="124"/>
      <c r="B459" s="128"/>
      <c r="C459" s="55" t="s">
        <v>119</v>
      </c>
      <c r="D459" s="55" t="s">
        <v>122</v>
      </c>
      <c r="E459" s="11" t="s">
        <v>225</v>
      </c>
      <c r="F459" s="56">
        <f t="shared" si="127"/>
        <v>600.5</v>
      </c>
      <c r="G459" s="14">
        <f aca="true" t="shared" si="139" ref="G459:O459">G460+G463+G461+G462</f>
        <v>263.6</v>
      </c>
      <c r="H459" s="14">
        <f t="shared" si="139"/>
        <v>110.1</v>
      </c>
      <c r="I459" s="14">
        <v>226.8</v>
      </c>
      <c r="J459" s="14">
        <v>0</v>
      </c>
      <c r="K459" s="14">
        <f t="shared" si="139"/>
        <v>0</v>
      </c>
      <c r="L459" s="14">
        <f t="shared" si="139"/>
        <v>0</v>
      </c>
      <c r="M459" s="14">
        <f t="shared" si="139"/>
        <v>0</v>
      </c>
      <c r="N459" s="14">
        <f t="shared" si="139"/>
        <v>0</v>
      </c>
      <c r="O459" s="14">
        <f t="shared" si="139"/>
        <v>0</v>
      </c>
      <c r="P459" s="57">
        <f t="shared" si="128"/>
        <v>0</v>
      </c>
      <c r="Q459" s="18">
        <f t="shared" si="135"/>
        <v>0</v>
      </c>
    </row>
    <row r="460" spans="1:17" ht="68.25" customHeight="1" hidden="1" outlineLevel="3">
      <c r="A460" s="72" t="s">
        <v>125</v>
      </c>
      <c r="B460" s="111" t="s">
        <v>126</v>
      </c>
      <c r="C460" s="55" t="s">
        <v>119</v>
      </c>
      <c r="D460" s="55" t="s">
        <v>122</v>
      </c>
      <c r="E460" s="11" t="s">
        <v>354</v>
      </c>
      <c r="F460" s="56">
        <f t="shared" si="127"/>
        <v>198.6</v>
      </c>
      <c r="G460" s="14">
        <v>198.6</v>
      </c>
      <c r="H460" s="14"/>
      <c r="I460" s="14"/>
      <c r="J460" s="14"/>
      <c r="K460" s="14"/>
      <c r="L460" s="14"/>
      <c r="M460" s="14"/>
      <c r="N460" s="14"/>
      <c r="O460" s="14"/>
      <c r="P460" s="57">
        <f t="shared" si="128"/>
        <v>0</v>
      </c>
      <c r="Q460" s="18">
        <f t="shared" si="135"/>
        <v>0</v>
      </c>
    </row>
    <row r="461" spans="1:17" ht="66" customHeight="1" hidden="1" outlineLevel="3">
      <c r="A461" s="72" t="s">
        <v>171</v>
      </c>
      <c r="B461" s="111" t="s">
        <v>185</v>
      </c>
      <c r="C461" s="55" t="s">
        <v>119</v>
      </c>
      <c r="D461" s="55" t="s">
        <v>122</v>
      </c>
      <c r="E461" s="11" t="s">
        <v>354</v>
      </c>
      <c r="F461" s="56">
        <f t="shared" si="127"/>
        <v>337.29999999999995</v>
      </c>
      <c r="G461" s="14"/>
      <c r="H461" s="14">
        <v>110.1</v>
      </c>
      <c r="I461" s="14">
        <v>227.2</v>
      </c>
      <c r="J461" s="14"/>
      <c r="K461" s="14"/>
      <c r="L461" s="14"/>
      <c r="M461" s="14"/>
      <c r="N461" s="14"/>
      <c r="O461" s="14"/>
      <c r="P461" s="57">
        <f t="shared" si="128"/>
        <v>0</v>
      </c>
      <c r="Q461" s="18">
        <f t="shared" si="135"/>
        <v>0</v>
      </c>
    </row>
    <row r="462" spans="1:17" ht="26.25" hidden="1" outlineLevel="3">
      <c r="A462" s="72" t="s">
        <v>352</v>
      </c>
      <c r="B462" s="111" t="s">
        <v>357</v>
      </c>
      <c r="C462" s="55" t="s">
        <v>119</v>
      </c>
      <c r="D462" s="55" t="s">
        <v>122</v>
      </c>
      <c r="E462" s="11" t="s">
        <v>354</v>
      </c>
      <c r="F462" s="56">
        <f t="shared" si="127"/>
        <v>0</v>
      </c>
      <c r="G462" s="14"/>
      <c r="H462" s="14"/>
      <c r="I462" s="14"/>
      <c r="J462" s="14"/>
      <c r="K462" s="14"/>
      <c r="L462" s="14"/>
      <c r="M462" s="14"/>
      <c r="N462" s="14"/>
      <c r="O462" s="14"/>
      <c r="P462" s="57">
        <f t="shared" si="128"/>
        <v>0</v>
      </c>
      <c r="Q462" s="18">
        <f t="shared" si="135"/>
        <v>0</v>
      </c>
    </row>
    <row r="463" spans="1:18" s="43" customFormat="1" ht="66.75" customHeight="1" hidden="1" outlineLevel="3">
      <c r="A463" s="72" t="s">
        <v>353</v>
      </c>
      <c r="B463" s="111" t="s">
        <v>185</v>
      </c>
      <c r="C463" s="55" t="s">
        <v>119</v>
      </c>
      <c r="D463" s="55" t="s">
        <v>122</v>
      </c>
      <c r="E463" s="11" t="s">
        <v>356</v>
      </c>
      <c r="F463" s="56">
        <f t="shared" si="127"/>
        <v>65</v>
      </c>
      <c r="G463" s="14">
        <v>65</v>
      </c>
      <c r="H463" s="14"/>
      <c r="I463" s="14"/>
      <c r="J463" s="14"/>
      <c r="K463" s="14"/>
      <c r="L463" s="14"/>
      <c r="M463" s="14"/>
      <c r="N463" s="14"/>
      <c r="O463" s="14"/>
      <c r="P463" s="57">
        <f t="shared" si="128"/>
        <v>0</v>
      </c>
      <c r="Q463" s="18">
        <f t="shared" si="135"/>
        <v>0</v>
      </c>
      <c r="R463" s="42"/>
    </row>
    <row r="464" spans="1:17" ht="34.5" customHeight="1" outlineLevel="1">
      <c r="A464" s="123" t="s">
        <v>128</v>
      </c>
      <c r="B464" s="127" t="s">
        <v>477</v>
      </c>
      <c r="C464" s="55" t="s">
        <v>119</v>
      </c>
      <c r="D464" s="55" t="s">
        <v>127</v>
      </c>
      <c r="E464" s="11" t="s">
        <v>244</v>
      </c>
      <c r="F464" s="56">
        <f t="shared" si="127"/>
        <v>3941.5</v>
      </c>
      <c r="G464" s="14">
        <f aca="true" t="shared" si="140" ref="G464:O464">G465+G466</f>
        <v>3907</v>
      </c>
      <c r="H464" s="14">
        <f t="shared" si="140"/>
        <v>34.5</v>
      </c>
      <c r="I464" s="14">
        <f t="shared" si="140"/>
        <v>0</v>
      </c>
      <c r="J464" s="14">
        <f t="shared" si="140"/>
        <v>0</v>
      </c>
      <c r="K464" s="14">
        <f t="shared" si="140"/>
        <v>0</v>
      </c>
      <c r="L464" s="14">
        <f t="shared" si="140"/>
        <v>0</v>
      </c>
      <c r="M464" s="14">
        <f t="shared" si="140"/>
        <v>0</v>
      </c>
      <c r="N464" s="14">
        <f t="shared" si="140"/>
        <v>0</v>
      </c>
      <c r="O464" s="14">
        <f t="shared" si="140"/>
        <v>0</v>
      </c>
      <c r="P464" s="57">
        <f t="shared" si="128"/>
        <v>0</v>
      </c>
      <c r="Q464" s="18">
        <f t="shared" si="135"/>
        <v>0</v>
      </c>
    </row>
    <row r="465" spans="1:17" ht="48.75" customHeight="1" outlineLevel="1">
      <c r="A465" s="129"/>
      <c r="B465" s="130"/>
      <c r="C465" s="55" t="s">
        <v>119</v>
      </c>
      <c r="D465" s="55" t="s">
        <v>127</v>
      </c>
      <c r="E465" s="11" t="s">
        <v>229</v>
      </c>
      <c r="F465" s="56">
        <f t="shared" si="127"/>
        <v>3941.5</v>
      </c>
      <c r="G465" s="14">
        <f>G468+G469+G471</f>
        <v>3907</v>
      </c>
      <c r="H465" s="14">
        <f>H468+H469+H471</f>
        <v>34.5</v>
      </c>
      <c r="I465" s="14">
        <f>I468+I469+I471</f>
        <v>0</v>
      </c>
      <c r="J465" s="14">
        <f>J468+J469+J471</f>
        <v>0</v>
      </c>
      <c r="K465" s="14">
        <f>K468+K469+K471+K477</f>
        <v>0</v>
      </c>
      <c r="L465" s="14">
        <f>L468+L469+L471+L477</f>
        <v>0</v>
      </c>
      <c r="M465" s="14">
        <f>M468+M469+M471+M477</f>
        <v>0</v>
      </c>
      <c r="N465" s="14">
        <f>N468+N469+N471+N477</f>
        <v>0</v>
      </c>
      <c r="O465" s="14">
        <f>O468+O469+O471+O477</f>
        <v>0</v>
      </c>
      <c r="P465" s="57">
        <f t="shared" si="128"/>
        <v>0</v>
      </c>
      <c r="Q465" s="18">
        <f t="shared" si="135"/>
        <v>0</v>
      </c>
    </row>
    <row r="466" spans="1:17" ht="49.5" customHeight="1" outlineLevel="1">
      <c r="A466" s="124"/>
      <c r="B466" s="128"/>
      <c r="C466" s="55" t="s">
        <v>119</v>
      </c>
      <c r="D466" s="55" t="s">
        <v>127</v>
      </c>
      <c r="E466" s="11" t="s">
        <v>230</v>
      </c>
      <c r="F466" s="56">
        <f t="shared" si="127"/>
        <v>0</v>
      </c>
      <c r="G466" s="14">
        <f aca="true" t="shared" si="141" ref="G466:O466">G470</f>
        <v>0</v>
      </c>
      <c r="H466" s="14">
        <f t="shared" si="141"/>
        <v>0</v>
      </c>
      <c r="I466" s="14">
        <f t="shared" si="141"/>
        <v>0</v>
      </c>
      <c r="J466" s="14">
        <f t="shared" si="141"/>
        <v>0</v>
      </c>
      <c r="K466" s="14">
        <f t="shared" si="141"/>
        <v>0</v>
      </c>
      <c r="L466" s="14">
        <f t="shared" si="141"/>
        <v>0</v>
      </c>
      <c r="M466" s="14">
        <f t="shared" si="141"/>
        <v>0</v>
      </c>
      <c r="N466" s="14">
        <f t="shared" si="141"/>
        <v>0</v>
      </c>
      <c r="O466" s="14">
        <f t="shared" si="141"/>
        <v>0</v>
      </c>
      <c r="P466" s="57">
        <f t="shared" si="128"/>
        <v>0</v>
      </c>
      <c r="Q466" s="18">
        <f t="shared" si="135"/>
        <v>0</v>
      </c>
    </row>
    <row r="467" spans="1:17" ht="36.75" customHeight="1" outlineLevel="2">
      <c r="A467" s="123" t="s">
        <v>265</v>
      </c>
      <c r="B467" s="127" t="s">
        <v>604</v>
      </c>
      <c r="C467" s="55" t="s">
        <v>119</v>
      </c>
      <c r="D467" s="55" t="s">
        <v>486</v>
      </c>
      <c r="E467" s="11" t="s">
        <v>244</v>
      </c>
      <c r="F467" s="56">
        <f t="shared" si="127"/>
        <v>3941.5</v>
      </c>
      <c r="G467" s="14">
        <f aca="true" t="shared" si="142" ref="G467:O467">G468</f>
        <v>3907</v>
      </c>
      <c r="H467" s="14">
        <f t="shared" si="142"/>
        <v>34.5</v>
      </c>
      <c r="I467" s="14">
        <f t="shared" si="142"/>
        <v>0</v>
      </c>
      <c r="J467" s="14">
        <f t="shared" si="142"/>
        <v>0</v>
      </c>
      <c r="K467" s="14">
        <f t="shared" si="142"/>
        <v>0</v>
      </c>
      <c r="L467" s="14">
        <f t="shared" si="142"/>
        <v>0</v>
      </c>
      <c r="M467" s="14">
        <f t="shared" si="142"/>
        <v>0</v>
      </c>
      <c r="N467" s="14">
        <f t="shared" si="142"/>
        <v>0</v>
      </c>
      <c r="O467" s="14">
        <f t="shared" si="142"/>
        <v>0</v>
      </c>
      <c r="P467" s="57">
        <f t="shared" si="128"/>
        <v>0</v>
      </c>
      <c r="Q467" s="18">
        <f t="shared" si="135"/>
        <v>0</v>
      </c>
    </row>
    <row r="468" spans="1:17" ht="37.5" customHeight="1" outlineLevel="2">
      <c r="A468" s="124"/>
      <c r="B468" s="128"/>
      <c r="C468" s="55" t="s">
        <v>119</v>
      </c>
      <c r="D468" s="55" t="s">
        <v>486</v>
      </c>
      <c r="E468" s="11" t="s">
        <v>226</v>
      </c>
      <c r="F468" s="56">
        <f aca="true" t="shared" si="143" ref="F468:F531">G468+H468+I468+J468+K468+L468+M468+N468+O468</f>
        <v>3941.5</v>
      </c>
      <c r="G468" s="14">
        <v>3907</v>
      </c>
      <c r="H468" s="14">
        <v>34.5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57">
        <f aca="true" t="shared" si="144" ref="P468:P531">L468+K468+J468+I468+H468+G468-F468</f>
        <v>0</v>
      </c>
      <c r="Q468" s="18">
        <f t="shared" si="135"/>
        <v>0</v>
      </c>
    </row>
    <row r="469" spans="1:17" ht="48.75" customHeight="1" hidden="1" outlineLevel="2">
      <c r="A469" s="123" t="s">
        <v>266</v>
      </c>
      <c r="B469" s="127" t="s">
        <v>189</v>
      </c>
      <c r="C469" s="55" t="s">
        <v>119</v>
      </c>
      <c r="D469" s="55" t="s">
        <v>129</v>
      </c>
      <c r="E469" s="11" t="s">
        <v>392</v>
      </c>
      <c r="F469" s="56">
        <f t="shared" si="143"/>
        <v>0</v>
      </c>
      <c r="G469" s="14"/>
      <c r="H469" s="14"/>
      <c r="I469" s="14"/>
      <c r="J469" s="14"/>
      <c r="K469" s="14"/>
      <c r="L469" s="14"/>
      <c r="M469" s="14"/>
      <c r="N469" s="14"/>
      <c r="O469" s="14"/>
      <c r="P469" s="57">
        <f t="shared" si="144"/>
        <v>0</v>
      </c>
      <c r="Q469" s="18">
        <f t="shared" si="135"/>
        <v>0</v>
      </c>
    </row>
    <row r="470" spans="1:17" ht="33" customHeight="1" hidden="1" outlineLevel="2">
      <c r="A470" s="129"/>
      <c r="B470" s="130"/>
      <c r="C470" s="55" t="s">
        <v>119</v>
      </c>
      <c r="D470" s="55" t="s">
        <v>190</v>
      </c>
      <c r="E470" s="11" t="s">
        <v>391</v>
      </c>
      <c r="F470" s="56">
        <f t="shared" si="143"/>
        <v>0</v>
      </c>
      <c r="G470" s="14"/>
      <c r="H470" s="14"/>
      <c r="I470" s="14"/>
      <c r="J470" s="14"/>
      <c r="K470" s="14"/>
      <c r="L470" s="14"/>
      <c r="M470" s="14"/>
      <c r="N470" s="14"/>
      <c r="O470" s="14"/>
      <c r="P470" s="57">
        <f t="shared" si="144"/>
        <v>0</v>
      </c>
      <c r="Q470" s="18">
        <f t="shared" si="135"/>
        <v>0</v>
      </c>
    </row>
    <row r="471" spans="1:17" ht="52.5" customHeight="1" hidden="1" outlineLevel="2">
      <c r="A471" s="124"/>
      <c r="B471" s="128"/>
      <c r="C471" s="55" t="s">
        <v>119</v>
      </c>
      <c r="D471" s="55" t="s">
        <v>190</v>
      </c>
      <c r="E471" s="11" t="s">
        <v>393</v>
      </c>
      <c r="F471" s="56">
        <f t="shared" si="143"/>
        <v>0</v>
      </c>
      <c r="G471" s="14"/>
      <c r="H471" s="14"/>
      <c r="I471" s="14"/>
      <c r="J471" s="14"/>
      <c r="K471" s="14"/>
      <c r="L471" s="14"/>
      <c r="M471" s="14"/>
      <c r="N471" s="14"/>
      <c r="O471" s="14"/>
      <c r="P471" s="57">
        <f t="shared" si="144"/>
        <v>0</v>
      </c>
      <c r="Q471" s="18">
        <f t="shared" si="135"/>
        <v>0</v>
      </c>
    </row>
    <row r="472" spans="1:17" ht="12.75" hidden="1" outlineLevel="2">
      <c r="A472" s="64"/>
      <c r="B472" s="112"/>
      <c r="C472" s="55"/>
      <c r="D472" s="55"/>
      <c r="E472" s="11"/>
      <c r="F472" s="56">
        <f t="shared" si="143"/>
        <v>0</v>
      </c>
      <c r="G472" s="14"/>
      <c r="H472" s="14"/>
      <c r="I472" s="14"/>
      <c r="J472" s="14"/>
      <c r="K472" s="14"/>
      <c r="L472" s="14"/>
      <c r="M472" s="14"/>
      <c r="N472" s="14"/>
      <c r="O472" s="14"/>
      <c r="P472" s="57">
        <f t="shared" si="144"/>
        <v>0</v>
      </c>
      <c r="Q472" s="18">
        <f t="shared" si="135"/>
        <v>0</v>
      </c>
    </row>
    <row r="473" spans="1:17" ht="39" hidden="1" outlineLevel="2">
      <c r="A473" s="64"/>
      <c r="B473" s="112" t="s">
        <v>45</v>
      </c>
      <c r="C473" s="55"/>
      <c r="D473" s="55"/>
      <c r="E473" s="11"/>
      <c r="F473" s="56">
        <f t="shared" si="143"/>
        <v>0</v>
      </c>
      <c r="G473" s="14">
        <f>G474</f>
        <v>0</v>
      </c>
      <c r="H473" s="14">
        <f>H474</f>
        <v>0</v>
      </c>
      <c r="I473" s="14"/>
      <c r="J473" s="14"/>
      <c r="K473" s="14"/>
      <c r="L473" s="14">
        <f>L474</f>
        <v>0</v>
      </c>
      <c r="M473" s="14"/>
      <c r="N473" s="14"/>
      <c r="O473" s="14"/>
      <c r="P473" s="57">
        <f t="shared" si="144"/>
        <v>0</v>
      </c>
      <c r="Q473" s="18">
        <f t="shared" si="135"/>
        <v>0</v>
      </c>
    </row>
    <row r="474" spans="1:17" ht="36.75" customHeight="1" hidden="1" outlineLevel="2">
      <c r="A474" s="64"/>
      <c r="B474" s="87" t="s">
        <v>46</v>
      </c>
      <c r="C474" s="88"/>
      <c r="D474" s="88"/>
      <c r="E474" s="11" t="s">
        <v>19</v>
      </c>
      <c r="F474" s="56">
        <f t="shared" si="143"/>
        <v>0</v>
      </c>
      <c r="G474" s="14"/>
      <c r="H474" s="14"/>
      <c r="I474" s="14"/>
      <c r="J474" s="14"/>
      <c r="K474" s="14"/>
      <c r="L474" s="14"/>
      <c r="M474" s="14"/>
      <c r="N474" s="14"/>
      <c r="O474" s="14"/>
      <c r="P474" s="57">
        <f t="shared" si="144"/>
        <v>0</v>
      </c>
      <c r="Q474" s="18">
        <f t="shared" si="135"/>
        <v>0</v>
      </c>
    </row>
    <row r="475" spans="1:17" ht="12.75" hidden="1" outlineLevel="2">
      <c r="A475" s="64"/>
      <c r="B475" s="112"/>
      <c r="C475" s="55"/>
      <c r="D475" s="55"/>
      <c r="E475" s="11"/>
      <c r="F475" s="56">
        <f t="shared" si="143"/>
        <v>0</v>
      </c>
      <c r="G475" s="14"/>
      <c r="H475" s="14"/>
      <c r="I475" s="14"/>
      <c r="J475" s="14"/>
      <c r="K475" s="14"/>
      <c r="L475" s="14"/>
      <c r="M475" s="14"/>
      <c r="N475" s="14"/>
      <c r="O475" s="14"/>
      <c r="P475" s="57">
        <f t="shared" si="144"/>
        <v>0</v>
      </c>
      <c r="Q475" s="18">
        <f t="shared" si="135"/>
        <v>0</v>
      </c>
    </row>
    <row r="476" spans="1:17" ht="36.75" customHeight="1" outlineLevel="2">
      <c r="A476" s="123" t="s">
        <v>266</v>
      </c>
      <c r="B476" s="127" t="s">
        <v>478</v>
      </c>
      <c r="C476" s="55" t="s">
        <v>119</v>
      </c>
      <c r="D476" s="55" t="s">
        <v>487</v>
      </c>
      <c r="E476" s="11" t="s">
        <v>244</v>
      </c>
      <c r="F476" s="56">
        <f t="shared" si="143"/>
        <v>0</v>
      </c>
      <c r="G476" s="14">
        <f aca="true" t="shared" si="145" ref="G476:O476">G477</f>
        <v>0</v>
      </c>
      <c r="H476" s="14">
        <f t="shared" si="145"/>
        <v>0</v>
      </c>
      <c r="I476" s="14">
        <f t="shared" si="145"/>
        <v>0</v>
      </c>
      <c r="J476" s="14">
        <f t="shared" si="145"/>
        <v>0</v>
      </c>
      <c r="K476" s="14">
        <f t="shared" si="145"/>
        <v>0</v>
      </c>
      <c r="L476" s="14">
        <f t="shared" si="145"/>
        <v>0</v>
      </c>
      <c r="M476" s="14">
        <f t="shared" si="145"/>
        <v>0</v>
      </c>
      <c r="N476" s="14">
        <f t="shared" si="145"/>
        <v>0</v>
      </c>
      <c r="O476" s="14">
        <f t="shared" si="145"/>
        <v>0</v>
      </c>
      <c r="P476" s="57">
        <f t="shared" si="144"/>
        <v>0</v>
      </c>
      <c r="Q476" s="18">
        <f t="shared" si="135"/>
        <v>0</v>
      </c>
    </row>
    <row r="477" spans="1:17" ht="37.5" customHeight="1" outlineLevel="2">
      <c r="A477" s="124"/>
      <c r="B477" s="128"/>
      <c r="C477" s="55" t="s">
        <v>119</v>
      </c>
      <c r="D477" s="55" t="s">
        <v>488</v>
      </c>
      <c r="E477" s="11" t="s">
        <v>226</v>
      </c>
      <c r="F477" s="56">
        <f t="shared" si="143"/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57">
        <f t="shared" si="144"/>
        <v>0</v>
      </c>
      <c r="Q477" s="18">
        <f t="shared" si="135"/>
        <v>0</v>
      </c>
    </row>
    <row r="478" spans="1:18" s="9" customFormat="1" ht="48" customHeight="1" outlineLevel="3">
      <c r="A478" s="123" t="s">
        <v>483</v>
      </c>
      <c r="B478" s="127" t="s">
        <v>507</v>
      </c>
      <c r="C478" s="136" t="s">
        <v>119</v>
      </c>
      <c r="D478" s="136" t="s">
        <v>482</v>
      </c>
      <c r="E478" s="11" t="s">
        <v>244</v>
      </c>
      <c r="F478" s="56">
        <f t="shared" si="143"/>
        <v>2057.8</v>
      </c>
      <c r="G478" s="14">
        <v>0</v>
      </c>
      <c r="H478" s="14">
        <v>0</v>
      </c>
      <c r="I478" s="14">
        <f>I479</f>
        <v>0</v>
      </c>
      <c r="J478" s="14">
        <f>J479</f>
        <v>2057.8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57">
        <f t="shared" si="144"/>
        <v>0</v>
      </c>
      <c r="Q478" s="18">
        <f t="shared" si="135"/>
        <v>0</v>
      </c>
      <c r="R478" s="41"/>
    </row>
    <row r="479" spans="1:18" s="9" customFormat="1" ht="54.75" customHeight="1" outlineLevel="3">
      <c r="A479" s="129"/>
      <c r="B479" s="130"/>
      <c r="C479" s="137"/>
      <c r="D479" s="137"/>
      <c r="E479" s="11" t="s">
        <v>552</v>
      </c>
      <c r="F479" s="56">
        <f t="shared" si="143"/>
        <v>2057.8</v>
      </c>
      <c r="G479" s="14">
        <v>0</v>
      </c>
      <c r="H479" s="14">
        <v>0</v>
      </c>
      <c r="I479" s="14">
        <f>I480</f>
        <v>0</v>
      </c>
      <c r="J479" s="14">
        <f>J480+J481+J482</f>
        <v>2057.8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57">
        <f t="shared" si="144"/>
        <v>0</v>
      </c>
      <c r="Q479" s="18">
        <f t="shared" si="135"/>
        <v>0</v>
      </c>
      <c r="R479" s="41"/>
    </row>
    <row r="480" spans="1:18" s="9" customFormat="1" ht="50.25" customHeight="1" outlineLevel="3">
      <c r="A480" s="129"/>
      <c r="B480" s="130"/>
      <c r="C480" s="137"/>
      <c r="D480" s="137"/>
      <c r="E480" s="11" t="s">
        <v>282</v>
      </c>
      <c r="F480" s="56">
        <f t="shared" si="143"/>
        <v>1755.7</v>
      </c>
      <c r="G480" s="14">
        <v>0</v>
      </c>
      <c r="H480" s="14">
        <v>0</v>
      </c>
      <c r="I480" s="14">
        <v>0</v>
      </c>
      <c r="J480" s="14">
        <f>J485</f>
        <v>1755.7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57">
        <f t="shared" si="144"/>
        <v>0</v>
      </c>
      <c r="Q480" s="18">
        <f t="shared" si="135"/>
        <v>0</v>
      </c>
      <c r="R480" s="41"/>
    </row>
    <row r="481" spans="1:18" s="9" customFormat="1" ht="46.5" customHeight="1" outlineLevel="3">
      <c r="A481" s="129"/>
      <c r="B481" s="130"/>
      <c r="C481" s="137"/>
      <c r="D481" s="137"/>
      <c r="E481" s="11" t="s">
        <v>38</v>
      </c>
      <c r="F481" s="56">
        <f t="shared" si="143"/>
        <v>92.4</v>
      </c>
      <c r="G481" s="14">
        <v>0</v>
      </c>
      <c r="H481" s="14">
        <v>0</v>
      </c>
      <c r="I481" s="14">
        <v>0</v>
      </c>
      <c r="J481" s="14">
        <f>J486</f>
        <v>92.4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57">
        <f t="shared" si="144"/>
        <v>0</v>
      </c>
      <c r="Q481" s="18">
        <f t="shared" si="135"/>
        <v>0</v>
      </c>
      <c r="R481" s="41"/>
    </row>
    <row r="482" spans="1:18" s="9" customFormat="1" ht="46.5" customHeight="1" outlineLevel="3">
      <c r="A482" s="124"/>
      <c r="B482" s="128"/>
      <c r="C482" s="140"/>
      <c r="D482" s="140"/>
      <c r="E482" s="11" t="s">
        <v>18</v>
      </c>
      <c r="F482" s="56">
        <f t="shared" si="143"/>
        <v>209.7</v>
      </c>
      <c r="G482" s="14">
        <v>0</v>
      </c>
      <c r="H482" s="14">
        <v>0</v>
      </c>
      <c r="I482" s="14">
        <v>0</v>
      </c>
      <c r="J482" s="14">
        <v>209.7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57">
        <f t="shared" si="144"/>
        <v>0</v>
      </c>
      <c r="Q482" s="18">
        <f t="shared" si="135"/>
        <v>0</v>
      </c>
      <c r="R482" s="41"/>
    </row>
    <row r="483" spans="1:18" s="9" customFormat="1" ht="28.5" customHeight="1" outlineLevel="3">
      <c r="A483" s="75" t="s">
        <v>484</v>
      </c>
      <c r="B483" s="65" t="s">
        <v>547</v>
      </c>
      <c r="C483" s="78" t="s">
        <v>119</v>
      </c>
      <c r="D483" s="78" t="s">
        <v>481</v>
      </c>
      <c r="E483" s="11" t="s">
        <v>244</v>
      </c>
      <c r="F483" s="56">
        <f t="shared" si="143"/>
        <v>2057.8</v>
      </c>
      <c r="G483" s="14">
        <v>0</v>
      </c>
      <c r="H483" s="14">
        <v>0</v>
      </c>
      <c r="I483" s="14">
        <f>I484</f>
        <v>0</v>
      </c>
      <c r="J483" s="14">
        <f>J484</f>
        <v>2057.8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57">
        <f t="shared" si="144"/>
        <v>0</v>
      </c>
      <c r="Q483" s="18">
        <f t="shared" si="135"/>
        <v>0</v>
      </c>
      <c r="R483" s="41"/>
    </row>
    <row r="484" spans="1:18" s="9" customFormat="1" ht="54.75" customHeight="1" outlineLevel="3">
      <c r="A484" s="67"/>
      <c r="B484" s="127" t="s">
        <v>605</v>
      </c>
      <c r="C484" s="53"/>
      <c r="D484" s="53"/>
      <c r="E484" s="11" t="s">
        <v>552</v>
      </c>
      <c r="F484" s="56">
        <f t="shared" si="143"/>
        <v>2057.8</v>
      </c>
      <c r="G484" s="14">
        <v>0</v>
      </c>
      <c r="H484" s="14">
        <v>0</v>
      </c>
      <c r="I484" s="14">
        <f>I485</f>
        <v>0</v>
      </c>
      <c r="J484" s="14">
        <f>J485+J486+J487</f>
        <v>2057.8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57">
        <f t="shared" si="144"/>
        <v>0</v>
      </c>
      <c r="Q484" s="18">
        <f t="shared" si="135"/>
        <v>0</v>
      </c>
      <c r="R484" s="41"/>
    </row>
    <row r="485" spans="1:18" s="9" customFormat="1" ht="45" customHeight="1" outlineLevel="3">
      <c r="A485" s="69"/>
      <c r="B485" s="143"/>
      <c r="C485" s="58"/>
      <c r="D485" s="58"/>
      <c r="E485" s="89" t="s">
        <v>282</v>
      </c>
      <c r="F485" s="56">
        <f t="shared" si="143"/>
        <v>1755.7</v>
      </c>
      <c r="G485" s="14">
        <v>0</v>
      </c>
      <c r="H485" s="14">
        <v>0</v>
      </c>
      <c r="I485" s="14">
        <v>0</v>
      </c>
      <c r="J485" s="14">
        <v>1755.7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57">
        <f t="shared" si="144"/>
        <v>0</v>
      </c>
      <c r="Q485" s="18">
        <f t="shared" si="135"/>
        <v>0</v>
      </c>
      <c r="R485" s="41"/>
    </row>
    <row r="486" spans="1:17" ht="22.5" customHeight="1" outlineLevel="2">
      <c r="A486" s="69"/>
      <c r="B486" s="59"/>
      <c r="C486" s="58"/>
      <c r="D486" s="58"/>
      <c r="E486" s="11" t="s">
        <v>38</v>
      </c>
      <c r="F486" s="56">
        <f t="shared" si="143"/>
        <v>92.4</v>
      </c>
      <c r="G486" s="14">
        <v>0</v>
      </c>
      <c r="H486" s="14">
        <v>0</v>
      </c>
      <c r="I486" s="14">
        <v>0</v>
      </c>
      <c r="J486" s="14">
        <v>92.4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57">
        <f t="shared" si="144"/>
        <v>0</v>
      </c>
      <c r="Q486" s="18">
        <f t="shared" si="135"/>
        <v>0</v>
      </c>
    </row>
    <row r="487" spans="1:17" ht="37.5" customHeight="1" outlineLevel="2">
      <c r="A487" s="68"/>
      <c r="B487" s="61"/>
      <c r="C487" s="60"/>
      <c r="D487" s="60"/>
      <c r="E487" s="11" t="s">
        <v>18</v>
      </c>
      <c r="F487" s="56">
        <f t="shared" si="143"/>
        <v>209.7</v>
      </c>
      <c r="G487" s="14">
        <v>0</v>
      </c>
      <c r="H487" s="14">
        <v>0</v>
      </c>
      <c r="I487" s="14">
        <v>0</v>
      </c>
      <c r="J487" s="14">
        <v>209.7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57">
        <f t="shared" si="144"/>
        <v>0</v>
      </c>
      <c r="Q487" s="18">
        <f t="shared" si="135"/>
        <v>0</v>
      </c>
    </row>
    <row r="488" spans="1:18" s="47" customFormat="1" ht="13.5">
      <c r="A488" s="123" t="s">
        <v>267</v>
      </c>
      <c r="B488" s="127" t="s">
        <v>411</v>
      </c>
      <c r="C488" s="55" t="s">
        <v>133</v>
      </c>
      <c r="D488" s="55" t="s">
        <v>132</v>
      </c>
      <c r="E488" s="11" t="s">
        <v>244</v>
      </c>
      <c r="F488" s="56">
        <f t="shared" si="143"/>
        <v>100187.59999999998</v>
      </c>
      <c r="G488" s="14">
        <f aca="true" t="shared" si="146" ref="G488:O488">G489+G516+G493+G490+G491+G492</f>
        <v>14948.6</v>
      </c>
      <c r="H488" s="14">
        <f t="shared" si="146"/>
        <v>9602.7</v>
      </c>
      <c r="I488" s="14">
        <f t="shared" si="146"/>
        <v>11382.1</v>
      </c>
      <c r="J488" s="14">
        <f t="shared" si="146"/>
        <v>17994.4</v>
      </c>
      <c r="K488" s="14">
        <f t="shared" si="146"/>
        <v>8916.2</v>
      </c>
      <c r="L488" s="14">
        <f t="shared" si="146"/>
        <v>9335.9</v>
      </c>
      <c r="M488" s="14">
        <f t="shared" si="146"/>
        <v>9335.9</v>
      </c>
      <c r="N488" s="14">
        <f t="shared" si="146"/>
        <v>9335.9</v>
      </c>
      <c r="O488" s="14">
        <f t="shared" si="146"/>
        <v>9335.9</v>
      </c>
      <c r="P488" s="57">
        <f t="shared" si="144"/>
        <v>-28007.699999999968</v>
      </c>
      <c r="Q488" s="18">
        <f t="shared" si="135"/>
        <v>0</v>
      </c>
      <c r="R488" s="46"/>
    </row>
    <row r="489" spans="1:18" s="47" customFormat="1" ht="13.5">
      <c r="A489" s="129"/>
      <c r="B489" s="130"/>
      <c r="C489" s="55" t="s">
        <v>133</v>
      </c>
      <c r="D489" s="55" t="s">
        <v>132</v>
      </c>
      <c r="E489" s="11" t="s">
        <v>225</v>
      </c>
      <c r="F489" s="56">
        <f t="shared" si="143"/>
        <v>99518.79999999997</v>
      </c>
      <c r="G489" s="14">
        <f aca="true" t="shared" si="147" ref="G489:O489">G495+G517</f>
        <v>14880.1</v>
      </c>
      <c r="H489" s="14">
        <f t="shared" si="147"/>
        <v>9602.7</v>
      </c>
      <c r="I489" s="14">
        <f t="shared" si="147"/>
        <v>11382.1</v>
      </c>
      <c r="J489" s="14">
        <f t="shared" si="147"/>
        <v>17394.1</v>
      </c>
      <c r="K489" s="14">
        <f t="shared" si="147"/>
        <v>8916.2</v>
      </c>
      <c r="L489" s="14">
        <f t="shared" si="147"/>
        <v>9335.9</v>
      </c>
      <c r="M489" s="14">
        <f t="shared" si="147"/>
        <v>9335.9</v>
      </c>
      <c r="N489" s="14">
        <f t="shared" si="147"/>
        <v>9335.9</v>
      </c>
      <c r="O489" s="14">
        <f t="shared" si="147"/>
        <v>9335.9</v>
      </c>
      <c r="P489" s="57">
        <f t="shared" si="144"/>
        <v>-28007.699999999968</v>
      </c>
      <c r="Q489" s="18">
        <f t="shared" si="135"/>
        <v>0</v>
      </c>
      <c r="R489" s="46"/>
    </row>
    <row r="490" spans="1:18" s="47" customFormat="1" ht="26.25">
      <c r="A490" s="129"/>
      <c r="B490" s="130"/>
      <c r="C490" s="55" t="s">
        <v>56</v>
      </c>
      <c r="D490" s="55" t="s">
        <v>132</v>
      </c>
      <c r="E490" s="11" t="s">
        <v>516</v>
      </c>
      <c r="F490" s="56">
        <f t="shared" si="143"/>
        <v>211.2</v>
      </c>
      <c r="G490" s="14">
        <f aca="true" t="shared" si="148" ref="G490:O490">G499</f>
        <v>0</v>
      </c>
      <c r="H490" s="14">
        <f t="shared" si="148"/>
        <v>0</v>
      </c>
      <c r="I490" s="14">
        <f t="shared" si="148"/>
        <v>0</v>
      </c>
      <c r="J490" s="14">
        <f t="shared" si="148"/>
        <v>211.2</v>
      </c>
      <c r="K490" s="14">
        <f t="shared" si="148"/>
        <v>0</v>
      </c>
      <c r="L490" s="14">
        <f t="shared" si="148"/>
        <v>0</v>
      </c>
      <c r="M490" s="14">
        <f t="shared" si="148"/>
        <v>0</v>
      </c>
      <c r="N490" s="14">
        <f t="shared" si="148"/>
        <v>0</v>
      </c>
      <c r="O490" s="14">
        <f t="shared" si="148"/>
        <v>0</v>
      </c>
      <c r="P490" s="57">
        <f t="shared" si="144"/>
        <v>0</v>
      </c>
      <c r="Q490" s="18">
        <f t="shared" si="135"/>
        <v>0</v>
      </c>
      <c r="R490" s="46"/>
    </row>
    <row r="491" spans="1:18" s="47" customFormat="1" ht="27.75" customHeight="1">
      <c r="A491" s="129"/>
      <c r="B491" s="130"/>
      <c r="C491" s="55" t="s">
        <v>56</v>
      </c>
      <c r="D491" s="55" t="s">
        <v>132</v>
      </c>
      <c r="E491" s="11" t="s">
        <v>524</v>
      </c>
      <c r="F491" s="56">
        <f t="shared" si="143"/>
        <v>239.4</v>
      </c>
      <c r="G491" s="14">
        <f aca="true" t="shared" si="149" ref="G491:O491">G500</f>
        <v>0</v>
      </c>
      <c r="H491" s="14">
        <f t="shared" si="149"/>
        <v>0</v>
      </c>
      <c r="I491" s="14">
        <f t="shared" si="149"/>
        <v>0</v>
      </c>
      <c r="J491" s="14">
        <f t="shared" si="149"/>
        <v>239.4</v>
      </c>
      <c r="K491" s="14">
        <f t="shared" si="149"/>
        <v>0</v>
      </c>
      <c r="L491" s="14">
        <f t="shared" si="149"/>
        <v>0</v>
      </c>
      <c r="M491" s="14">
        <f t="shared" si="149"/>
        <v>0</v>
      </c>
      <c r="N491" s="14">
        <f t="shared" si="149"/>
        <v>0</v>
      </c>
      <c r="O491" s="14">
        <f t="shared" si="149"/>
        <v>0</v>
      </c>
      <c r="P491" s="57">
        <f t="shared" si="144"/>
        <v>0</v>
      </c>
      <c r="Q491" s="18">
        <f t="shared" si="135"/>
        <v>0</v>
      </c>
      <c r="R491" s="46"/>
    </row>
    <row r="492" spans="1:18" s="47" customFormat="1" ht="52.5">
      <c r="A492" s="129"/>
      <c r="B492" s="130"/>
      <c r="C492" s="55" t="s">
        <v>56</v>
      </c>
      <c r="D492" s="55" t="s">
        <v>132</v>
      </c>
      <c r="E492" s="11" t="s">
        <v>593</v>
      </c>
      <c r="F492" s="56">
        <f t="shared" si="143"/>
        <v>149.7</v>
      </c>
      <c r="G492" s="14">
        <f aca="true" t="shared" si="150" ref="G492:O492">G501</f>
        <v>0</v>
      </c>
      <c r="H492" s="14">
        <f t="shared" si="150"/>
        <v>0</v>
      </c>
      <c r="I492" s="14">
        <f t="shared" si="150"/>
        <v>0</v>
      </c>
      <c r="J492" s="14">
        <f t="shared" si="150"/>
        <v>149.7</v>
      </c>
      <c r="K492" s="14">
        <f t="shared" si="150"/>
        <v>0</v>
      </c>
      <c r="L492" s="14">
        <f t="shared" si="150"/>
        <v>0</v>
      </c>
      <c r="M492" s="14">
        <f t="shared" si="150"/>
        <v>0</v>
      </c>
      <c r="N492" s="14">
        <f t="shared" si="150"/>
        <v>0</v>
      </c>
      <c r="O492" s="14">
        <f t="shared" si="150"/>
        <v>0</v>
      </c>
      <c r="P492" s="57">
        <f t="shared" si="144"/>
        <v>0</v>
      </c>
      <c r="Q492" s="18">
        <f t="shared" si="135"/>
        <v>0</v>
      </c>
      <c r="R492" s="46"/>
    </row>
    <row r="493" spans="1:18" s="47" customFormat="1" ht="27" customHeight="1">
      <c r="A493" s="124"/>
      <c r="B493" s="128"/>
      <c r="C493" s="55" t="s">
        <v>56</v>
      </c>
      <c r="D493" s="55" t="s">
        <v>132</v>
      </c>
      <c r="E493" s="11" t="s">
        <v>226</v>
      </c>
      <c r="F493" s="56">
        <f t="shared" si="143"/>
        <v>68.5</v>
      </c>
      <c r="G493" s="14">
        <f aca="true" t="shared" si="151" ref="G493:O493">G505</f>
        <v>68.5</v>
      </c>
      <c r="H493" s="14">
        <f t="shared" si="151"/>
        <v>0</v>
      </c>
      <c r="I493" s="14">
        <f t="shared" si="151"/>
        <v>0</v>
      </c>
      <c r="J493" s="14">
        <f t="shared" si="151"/>
        <v>0</v>
      </c>
      <c r="K493" s="14">
        <f t="shared" si="151"/>
        <v>0</v>
      </c>
      <c r="L493" s="14">
        <f t="shared" si="151"/>
        <v>0</v>
      </c>
      <c r="M493" s="14">
        <f t="shared" si="151"/>
        <v>0</v>
      </c>
      <c r="N493" s="14">
        <f t="shared" si="151"/>
        <v>0</v>
      </c>
      <c r="O493" s="14">
        <f t="shared" si="151"/>
        <v>0</v>
      </c>
      <c r="P493" s="57">
        <f t="shared" si="144"/>
        <v>0</v>
      </c>
      <c r="Q493" s="18">
        <f t="shared" si="135"/>
        <v>0</v>
      </c>
      <c r="R493" s="46"/>
    </row>
    <row r="494" spans="1:17" ht="39.75" customHeight="1" outlineLevel="1">
      <c r="A494" s="123" t="s">
        <v>268</v>
      </c>
      <c r="B494" s="127" t="s">
        <v>134</v>
      </c>
      <c r="C494" s="55" t="s">
        <v>136</v>
      </c>
      <c r="D494" s="55" t="s">
        <v>135</v>
      </c>
      <c r="E494" s="11" t="s">
        <v>244</v>
      </c>
      <c r="F494" s="56">
        <f t="shared" si="143"/>
        <v>100187.59999999998</v>
      </c>
      <c r="G494" s="14">
        <f aca="true" t="shared" si="152" ref="G494:O494">G495+G502</f>
        <v>14948.6</v>
      </c>
      <c r="H494" s="14">
        <f t="shared" si="152"/>
        <v>9602.7</v>
      </c>
      <c r="I494" s="14">
        <f t="shared" si="152"/>
        <v>11382.1</v>
      </c>
      <c r="J494" s="14">
        <f>J495+J502+J499+J500+J501</f>
        <v>17994.4</v>
      </c>
      <c r="K494" s="14">
        <f t="shared" si="152"/>
        <v>8916.2</v>
      </c>
      <c r="L494" s="14">
        <f t="shared" si="152"/>
        <v>9335.9</v>
      </c>
      <c r="M494" s="14">
        <f t="shared" si="152"/>
        <v>9335.9</v>
      </c>
      <c r="N494" s="14">
        <f t="shared" si="152"/>
        <v>9335.9</v>
      </c>
      <c r="O494" s="14">
        <f t="shared" si="152"/>
        <v>9335.9</v>
      </c>
      <c r="P494" s="57">
        <f t="shared" si="144"/>
        <v>-28007.699999999968</v>
      </c>
      <c r="Q494" s="18">
        <f t="shared" si="135"/>
        <v>0</v>
      </c>
    </row>
    <row r="495" spans="1:17" ht="35.25" customHeight="1" outlineLevel="1">
      <c r="A495" s="129"/>
      <c r="B495" s="130"/>
      <c r="C495" s="55" t="s">
        <v>136</v>
      </c>
      <c r="D495" s="55" t="s">
        <v>135</v>
      </c>
      <c r="E495" s="11" t="s">
        <v>225</v>
      </c>
      <c r="F495" s="56">
        <f t="shared" si="143"/>
        <v>99518.79999999997</v>
      </c>
      <c r="G495" s="14">
        <f aca="true" t="shared" si="153" ref="G495:O495">G504+G513+G529+G531</f>
        <v>14880.1</v>
      </c>
      <c r="H495" s="14">
        <f t="shared" si="153"/>
        <v>9602.7</v>
      </c>
      <c r="I495" s="14">
        <f t="shared" si="153"/>
        <v>11382.1</v>
      </c>
      <c r="J495" s="14">
        <f t="shared" si="153"/>
        <v>17394.1</v>
      </c>
      <c r="K495" s="14">
        <f t="shared" si="153"/>
        <v>8916.2</v>
      </c>
      <c r="L495" s="14">
        <f t="shared" si="153"/>
        <v>9335.9</v>
      </c>
      <c r="M495" s="14">
        <f t="shared" si="153"/>
        <v>9335.9</v>
      </c>
      <c r="N495" s="14">
        <f t="shared" si="153"/>
        <v>9335.9</v>
      </c>
      <c r="O495" s="14">
        <f t="shared" si="153"/>
        <v>9335.9</v>
      </c>
      <c r="P495" s="57">
        <f t="shared" si="144"/>
        <v>-28007.699999999968</v>
      </c>
      <c r="Q495" s="18">
        <f t="shared" si="135"/>
        <v>0</v>
      </c>
    </row>
    <row r="496" spans="1:17" ht="15.75" customHeight="1" hidden="1" outlineLevel="1">
      <c r="A496" s="129"/>
      <c r="B496" s="130"/>
      <c r="C496" s="55" t="s">
        <v>517</v>
      </c>
      <c r="D496" s="55" t="s">
        <v>518</v>
      </c>
      <c r="E496" s="11"/>
      <c r="F496" s="56">
        <f t="shared" si="143"/>
        <v>0</v>
      </c>
      <c r="G496" s="14"/>
      <c r="H496" s="14"/>
      <c r="I496" s="14"/>
      <c r="J496" s="14"/>
      <c r="K496" s="14"/>
      <c r="L496" s="14"/>
      <c r="M496" s="14"/>
      <c r="N496" s="14"/>
      <c r="O496" s="14"/>
      <c r="P496" s="57">
        <f t="shared" si="144"/>
        <v>0</v>
      </c>
      <c r="Q496" s="18">
        <f t="shared" si="135"/>
        <v>0</v>
      </c>
    </row>
    <row r="497" spans="1:17" ht="15.75" customHeight="1" hidden="1" outlineLevel="1">
      <c r="A497" s="129"/>
      <c r="B497" s="130"/>
      <c r="C497" s="55" t="s">
        <v>519</v>
      </c>
      <c r="D497" s="55" t="s">
        <v>520</v>
      </c>
      <c r="E497" s="11"/>
      <c r="F497" s="56">
        <f t="shared" si="143"/>
        <v>1695</v>
      </c>
      <c r="G497" s="14">
        <v>565</v>
      </c>
      <c r="H497" s="14">
        <v>565</v>
      </c>
      <c r="I497" s="14"/>
      <c r="J497" s="14"/>
      <c r="K497" s="14"/>
      <c r="L497" s="14">
        <v>565</v>
      </c>
      <c r="M497" s="14"/>
      <c r="N497" s="14"/>
      <c r="O497" s="14"/>
      <c r="P497" s="57">
        <f t="shared" si="144"/>
        <v>0</v>
      </c>
      <c r="Q497" s="18">
        <f t="shared" si="135"/>
        <v>0</v>
      </c>
    </row>
    <row r="498" spans="1:17" ht="15.75" customHeight="1" hidden="1" outlineLevel="1">
      <c r="A498" s="129"/>
      <c r="B498" s="130"/>
      <c r="C498" s="55" t="s">
        <v>521</v>
      </c>
      <c r="D498" s="55" t="s">
        <v>522</v>
      </c>
      <c r="E498" s="11"/>
      <c r="F498" s="56">
        <f t="shared" si="143"/>
        <v>23738</v>
      </c>
      <c r="G498" s="14">
        <f>9246+2000-2000</f>
        <v>9246</v>
      </c>
      <c r="H498" s="14">
        <f>9246-2000</f>
        <v>7246</v>
      </c>
      <c r="I498" s="14"/>
      <c r="J498" s="14"/>
      <c r="K498" s="14"/>
      <c r="L498" s="14">
        <f>9246-2000</f>
        <v>7246</v>
      </c>
      <c r="M498" s="14"/>
      <c r="N498" s="14"/>
      <c r="O498" s="14"/>
      <c r="P498" s="57">
        <f t="shared" si="144"/>
        <v>0</v>
      </c>
      <c r="Q498" s="18">
        <f t="shared" si="135"/>
        <v>0</v>
      </c>
    </row>
    <row r="499" spans="1:17" ht="39.75" customHeight="1" outlineLevel="1">
      <c r="A499" s="129"/>
      <c r="B499" s="130"/>
      <c r="C499" s="55" t="s">
        <v>56</v>
      </c>
      <c r="D499" s="55" t="s">
        <v>135</v>
      </c>
      <c r="E499" s="11" t="s">
        <v>516</v>
      </c>
      <c r="F499" s="56">
        <f t="shared" si="143"/>
        <v>211.2</v>
      </c>
      <c r="G499" s="14">
        <f aca="true" t="shared" si="154" ref="G499:O499">G523</f>
        <v>0</v>
      </c>
      <c r="H499" s="14">
        <f t="shared" si="154"/>
        <v>0</v>
      </c>
      <c r="I499" s="14">
        <f t="shared" si="154"/>
        <v>0</v>
      </c>
      <c r="J499" s="14">
        <f t="shared" si="154"/>
        <v>211.2</v>
      </c>
      <c r="K499" s="14">
        <f t="shared" si="154"/>
        <v>0</v>
      </c>
      <c r="L499" s="14">
        <f t="shared" si="154"/>
        <v>0</v>
      </c>
      <c r="M499" s="14">
        <f t="shared" si="154"/>
        <v>0</v>
      </c>
      <c r="N499" s="14">
        <f t="shared" si="154"/>
        <v>0</v>
      </c>
      <c r="O499" s="14">
        <f t="shared" si="154"/>
        <v>0</v>
      </c>
      <c r="P499" s="57">
        <f t="shared" si="144"/>
        <v>0</v>
      </c>
      <c r="Q499" s="18">
        <f t="shared" si="135"/>
        <v>0</v>
      </c>
    </row>
    <row r="500" spans="1:17" ht="34.5" customHeight="1" outlineLevel="1">
      <c r="A500" s="129"/>
      <c r="B500" s="130"/>
      <c r="C500" s="55" t="s">
        <v>56</v>
      </c>
      <c r="D500" s="55" t="s">
        <v>135</v>
      </c>
      <c r="E500" s="11" t="s">
        <v>524</v>
      </c>
      <c r="F500" s="56">
        <f t="shared" si="143"/>
        <v>239.4</v>
      </c>
      <c r="G500" s="14">
        <f aca="true" t="shared" si="155" ref="G500:O500">G525</f>
        <v>0</v>
      </c>
      <c r="H500" s="14">
        <f t="shared" si="155"/>
        <v>0</v>
      </c>
      <c r="I500" s="14">
        <f t="shared" si="155"/>
        <v>0</v>
      </c>
      <c r="J500" s="14">
        <f t="shared" si="155"/>
        <v>239.4</v>
      </c>
      <c r="K500" s="14">
        <f t="shared" si="155"/>
        <v>0</v>
      </c>
      <c r="L500" s="14">
        <f t="shared" si="155"/>
        <v>0</v>
      </c>
      <c r="M500" s="14">
        <f t="shared" si="155"/>
        <v>0</v>
      </c>
      <c r="N500" s="14">
        <f t="shared" si="155"/>
        <v>0</v>
      </c>
      <c r="O500" s="14">
        <f t="shared" si="155"/>
        <v>0</v>
      </c>
      <c r="P500" s="57">
        <f t="shared" si="144"/>
        <v>0</v>
      </c>
      <c r="Q500" s="18">
        <f t="shared" si="135"/>
        <v>0</v>
      </c>
    </row>
    <row r="501" spans="1:17" ht="113.25" customHeight="1" outlineLevel="1">
      <c r="A501" s="129"/>
      <c r="B501" s="130"/>
      <c r="C501" s="55" t="s">
        <v>56</v>
      </c>
      <c r="D501" s="55" t="s">
        <v>135</v>
      </c>
      <c r="E501" s="11" t="s">
        <v>560</v>
      </c>
      <c r="F501" s="56">
        <f t="shared" si="143"/>
        <v>149.7</v>
      </c>
      <c r="G501" s="14">
        <f aca="true" t="shared" si="156" ref="G501:O501">G527</f>
        <v>0</v>
      </c>
      <c r="H501" s="14">
        <f t="shared" si="156"/>
        <v>0</v>
      </c>
      <c r="I501" s="14">
        <f t="shared" si="156"/>
        <v>0</v>
      </c>
      <c r="J501" s="14">
        <f t="shared" si="156"/>
        <v>149.7</v>
      </c>
      <c r="K501" s="14">
        <f t="shared" si="156"/>
        <v>0</v>
      </c>
      <c r="L501" s="14">
        <f t="shared" si="156"/>
        <v>0</v>
      </c>
      <c r="M501" s="14">
        <f t="shared" si="156"/>
        <v>0</v>
      </c>
      <c r="N501" s="14">
        <f t="shared" si="156"/>
        <v>0</v>
      </c>
      <c r="O501" s="14">
        <f t="shared" si="156"/>
        <v>0</v>
      </c>
      <c r="P501" s="57">
        <f t="shared" si="144"/>
        <v>0</v>
      </c>
      <c r="Q501" s="18">
        <f t="shared" si="135"/>
        <v>0</v>
      </c>
    </row>
    <row r="502" spans="1:17" ht="24.75" customHeight="1" outlineLevel="1">
      <c r="A502" s="124"/>
      <c r="B502" s="128"/>
      <c r="C502" s="55" t="s">
        <v>56</v>
      </c>
      <c r="D502" s="55" t="s">
        <v>135</v>
      </c>
      <c r="E502" s="11" t="s">
        <v>226</v>
      </c>
      <c r="F502" s="56">
        <f t="shared" si="143"/>
        <v>68.5</v>
      </c>
      <c r="G502" s="14">
        <f aca="true" t="shared" si="157" ref="G502:O502">G521</f>
        <v>68.5</v>
      </c>
      <c r="H502" s="14">
        <f t="shared" si="157"/>
        <v>0</v>
      </c>
      <c r="I502" s="14">
        <f t="shared" si="157"/>
        <v>0</v>
      </c>
      <c r="J502" s="14">
        <f t="shared" si="157"/>
        <v>0</v>
      </c>
      <c r="K502" s="14">
        <f t="shared" si="157"/>
        <v>0</v>
      </c>
      <c r="L502" s="14">
        <f t="shared" si="157"/>
        <v>0</v>
      </c>
      <c r="M502" s="14">
        <f t="shared" si="157"/>
        <v>0</v>
      </c>
      <c r="N502" s="14">
        <f t="shared" si="157"/>
        <v>0</v>
      </c>
      <c r="O502" s="14">
        <f t="shared" si="157"/>
        <v>0</v>
      </c>
      <c r="P502" s="57">
        <f t="shared" si="144"/>
        <v>0</v>
      </c>
      <c r="Q502" s="18">
        <f t="shared" si="135"/>
        <v>0</v>
      </c>
    </row>
    <row r="503" spans="1:17" ht="31.5" customHeight="1" outlineLevel="2">
      <c r="A503" s="67" t="s">
        <v>269</v>
      </c>
      <c r="B503" s="120" t="s">
        <v>542</v>
      </c>
      <c r="C503" s="86" t="s">
        <v>133</v>
      </c>
      <c r="D503" s="55" t="s">
        <v>137</v>
      </c>
      <c r="E503" s="11" t="s">
        <v>244</v>
      </c>
      <c r="F503" s="56">
        <f t="shared" si="143"/>
        <v>99167.19999999998</v>
      </c>
      <c r="G503" s="14">
        <f>G504+G505</f>
        <v>14948.6</v>
      </c>
      <c r="H503" s="14">
        <f>H504+H505</f>
        <v>9602.7</v>
      </c>
      <c r="I503" s="14">
        <f aca="true" t="shared" si="158" ref="I503:O503">I504</f>
        <v>11382.1</v>
      </c>
      <c r="J503" s="14">
        <f t="shared" si="158"/>
        <v>16974</v>
      </c>
      <c r="K503" s="14">
        <f t="shared" si="158"/>
        <v>8916.2</v>
      </c>
      <c r="L503" s="14">
        <f t="shared" si="158"/>
        <v>9335.9</v>
      </c>
      <c r="M503" s="14">
        <f t="shared" si="158"/>
        <v>9335.9</v>
      </c>
      <c r="N503" s="14">
        <f t="shared" si="158"/>
        <v>9335.9</v>
      </c>
      <c r="O503" s="14">
        <f t="shared" si="158"/>
        <v>9335.9</v>
      </c>
      <c r="P503" s="57">
        <f t="shared" si="144"/>
        <v>-28007.699999999983</v>
      </c>
      <c r="Q503" s="18">
        <f t="shared" si="135"/>
        <v>0</v>
      </c>
    </row>
    <row r="504" spans="1:17" ht="12.75" outlineLevel="2">
      <c r="A504" s="69"/>
      <c r="B504" s="59" t="s">
        <v>543</v>
      </c>
      <c r="C504" s="86" t="s">
        <v>133</v>
      </c>
      <c r="D504" s="55" t="s">
        <v>137</v>
      </c>
      <c r="E504" s="11" t="s">
        <v>225</v>
      </c>
      <c r="F504" s="56">
        <f t="shared" si="143"/>
        <v>99098.69999999998</v>
      </c>
      <c r="G504" s="14">
        <f>G506+G520</f>
        <v>14880.1</v>
      </c>
      <c r="H504" s="14">
        <f>H506+H520</f>
        <v>9602.7</v>
      </c>
      <c r="I504" s="14">
        <v>11382.1</v>
      </c>
      <c r="J504" s="14">
        <v>16974</v>
      </c>
      <c r="K504" s="14">
        <v>8916.2</v>
      </c>
      <c r="L504" s="14">
        <v>9335.9</v>
      </c>
      <c r="M504" s="14">
        <v>9335.9</v>
      </c>
      <c r="N504" s="14">
        <v>9335.9</v>
      </c>
      <c r="O504" s="14">
        <v>9335.9</v>
      </c>
      <c r="P504" s="57">
        <f t="shared" si="144"/>
        <v>-28007.699999999983</v>
      </c>
      <c r="Q504" s="18">
        <f t="shared" si="135"/>
        <v>0</v>
      </c>
    </row>
    <row r="505" spans="1:17" ht="24" customHeight="1" outlineLevel="2" collapsed="1">
      <c r="A505" s="68"/>
      <c r="B505" s="61"/>
      <c r="C505" s="86" t="s">
        <v>56</v>
      </c>
      <c r="D505" s="55" t="s">
        <v>137</v>
      </c>
      <c r="E505" s="11" t="s">
        <v>226</v>
      </c>
      <c r="F505" s="56">
        <f t="shared" si="143"/>
        <v>68.5</v>
      </c>
      <c r="G505" s="14">
        <f aca="true" t="shared" si="159" ref="G505:O505">G521</f>
        <v>68.5</v>
      </c>
      <c r="H505" s="14">
        <f t="shared" si="159"/>
        <v>0</v>
      </c>
      <c r="I505" s="14">
        <f t="shared" si="159"/>
        <v>0</v>
      </c>
      <c r="J505" s="14">
        <f t="shared" si="159"/>
        <v>0</v>
      </c>
      <c r="K505" s="14">
        <f t="shared" si="159"/>
        <v>0</v>
      </c>
      <c r="L505" s="14">
        <f t="shared" si="159"/>
        <v>0</v>
      </c>
      <c r="M505" s="14">
        <f t="shared" si="159"/>
        <v>0</v>
      </c>
      <c r="N505" s="14">
        <f t="shared" si="159"/>
        <v>0</v>
      </c>
      <c r="O505" s="14">
        <f t="shared" si="159"/>
        <v>0</v>
      </c>
      <c r="P505" s="57">
        <f t="shared" si="144"/>
        <v>0</v>
      </c>
      <c r="Q505" s="18">
        <f t="shared" si="135"/>
        <v>0</v>
      </c>
    </row>
    <row r="506" spans="1:18" s="43" customFormat="1" ht="33" customHeight="1" hidden="1" outlineLevel="3">
      <c r="A506" s="64" t="s">
        <v>138</v>
      </c>
      <c r="B506" s="112" t="s">
        <v>172</v>
      </c>
      <c r="C506" s="55" t="s">
        <v>133</v>
      </c>
      <c r="D506" s="55" t="s">
        <v>137</v>
      </c>
      <c r="E506" s="11" t="s">
        <v>139</v>
      </c>
      <c r="F506" s="56">
        <f t="shared" si="143"/>
        <v>71029.1</v>
      </c>
      <c r="G506" s="14">
        <f>9811+13+1989.7+500+31.4</f>
        <v>12345.1</v>
      </c>
      <c r="H506" s="14">
        <v>9602.7</v>
      </c>
      <c r="I506" s="14">
        <f>13863.6+176.5-656</f>
        <v>13384.1</v>
      </c>
      <c r="J506" s="14">
        <v>15971.2</v>
      </c>
      <c r="K506" s="14">
        <v>8863</v>
      </c>
      <c r="L506" s="14">
        <v>10863</v>
      </c>
      <c r="M506" s="14"/>
      <c r="N506" s="14"/>
      <c r="O506" s="14"/>
      <c r="P506" s="57">
        <f t="shared" si="144"/>
        <v>0</v>
      </c>
      <c r="Q506" s="18">
        <f t="shared" si="135"/>
        <v>0</v>
      </c>
      <c r="R506" s="42"/>
    </row>
    <row r="507" spans="1:17" ht="26.25" hidden="1" outlineLevel="3">
      <c r="A507" s="64"/>
      <c r="B507" s="112" t="s">
        <v>172</v>
      </c>
      <c r="C507" s="55"/>
      <c r="D507" s="55"/>
      <c r="E507" s="11"/>
      <c r="F507" s="56">
        <f t="shared" si="143"/>
        <v>0</v>
      </c>
      <c r="G507" s="14"/>
      <c r="H507" s="14"/>
      <c r="I507" s="14"/>
      <c r="J507" s="14"/>
      <c r="K507" s="14"/>
      <c r="L507" s="14"/>
      <c r="M507" s="14"/>
      <c r="N507" s="14"/>
      <c r="O507" s="14"/>
      <c r="P507" s="57">
        <f t="shared" si="144"/>
        <v>0</v>
      </c>
      <c r="Q507" s="18">
        <f t="shared" si="135"/>
        <v>0</v>
      </c>
    </row>
    <row r="508" spans="1:17" ht="26.25" hidden="1" outlineLevel="3">
      <c r="A508" s="64"/>
      <c r="B508" s="112" t="s">
        <v>172</v>
      </c>
      <c r="C508" s="55"/>
      <c r="D508" s="55"/>
      <c r="E508" s="11"/>
      <c r="F508" s="56">
        <f t="shared" si="143"/>
        <v>0</v>
      </c>
      <c r="G508" s="14">
        <f>G509+G510</f>
        <v>0</v>
      </c>
      <c r="H508" s="14"/>
      <c r="I508" s="14"/>
      <c r="J508" s="14"/>
      <c r="K508" s="14"/>
      <c r="L508" s="14"/>
      <c r="M508" s="14"/>
      <c r="N508" s="14"/>
      <c r="O508" s="14"/>
      <c r="P508" s="57">
        <f t="shared" si="144"/>
        <v>0</v>
      </c>
      <c r="Q508" s="18">
        <f t="shared" si="135"/>
        <v>0</v>
      </c>
    </row>
    <row r="509" spans="1:18" s="23" customFormat="1" ht="26.25" hidden="1" outlineLevel="4">
      <c r="A509" s="64"/>
      <c r="B509" s="112" t="s">
        <v>172</v>
      </c>
      <c r="C509" s="55"/>
      <c r="D509" s="55"/>
      <c r="E509" s="11" t="s">
        <v>3</v>
      </c>
      <c r="F509" s="56">
        <f t="shared" si="143"/>
        <v>0</v>
      </c>
      <c r="G509" s="14"/>
      <c r="H509" s="14"/>
      <c r="I509" s="14"/>
      <c r="J509" s="14"/>
      <c r="K509" s="14"/>
      <c r="L509" s="14"/>
      <c r="M509" s="14"/>
      <c r="N509" s="14"/>
      <c r="O509" s="14"/>
      <c r="P509" s="57">
        <f t="shared" si="144"/>
        <v>0</v>
      </c>
      <c r="Q509" s="18">
        <f t="shared" si="135"/>
        <v>0</v>
      </c>
      <c r="R509" s="26"/>
    </row>
    <row r="510" spans="1:18" s="23" customFormat="1" ht="26.25" hidden="1" outlineLevel="4">
      <c r="A510" s="64"/>
      <c r="B510" s="112" t="s">
        <v>172</v>
      </c>
      <c r="C510" s="55"/>
      <c r="D510" s="55"/>
      <c r="E510" s="11" t="s">
        <v>3</v>
      </c>
      <c r="F510" s="56">
        <f t="shared" si="143"/>
        <v>0</v>
      </c>
      <c r="G510" s="14"/>
      <c r="H510" s="14"/>
      <c r="I510" s="14"/>
      <c r="J510" s="14"/>
      <c r="K510" s="14"/>
      <c r="L510" s="14"/>
      <c r="M510" s="14"/>
      <c r="N510" s="14"/>
      <c r="O510" s="14"/>
      <c r="P510" s="57">
        <f t="shared" si="144"/>
        <v>0</v>
      </c>
      <c r="Q510" s="18">
        <f t="shared" si="135"/>
        <v>0</v>
      </c>
      <c r="R510" s="26"/>
    </row>
    <row r="511" spans="1:17" ht="26.25" hidden="1" outlineLevel="3">
      <c r="A511" s="64"/>
      <c r="B511" s="112" t="s">
        <v>172</v>
      </c>
      <c r="C511" s="55"/>
      <c r="D511" s="55"/>
      <c r="E511" s="11"/>
      <c r="F511" s="56">
        <f t="shared" si="143"/>
        <v>0</v>
      </c>
      <c r="G511" s="14"/>
      <c r="H511" s="14"/>
      <c r="I511" s="14"/>
      <c r="J511" s="14"/>
      <c r="K511" s="14"/>
      <c r="L511" s="14"/>
      <c r="M511" s="14"/>
      <c r="N511" s="14"/>
      <c r="O511" s="14"/>
      <c r="P511" s="57">
        <f t="shared" si="144"/>
        <v>0</v>
      </c>
      <c r="Q511" s="18">
        <f t="shared" si="135"/>
        <v>0</v>
      </c>
    </row>
    <row r="512" spans="1:17" ht="26.25" hidden="1" outlineLevel="2">
      <c r="A512" s="64"/>
      <c r="B512" s="112" t="s">
        <v>172</v>
      </c>
      <c r="C512" s="55"/>
      <c r="D512" s="55"/>
      <c r="E512" s="11" t="s">
        <v>1</v>
      </c>
      <c r="F512" s="56">
        <f t="shared" si="143"/>
        <v>0</v>
      </c>
      <c r="G512" s="14">
        <f>G513</f>
        <v>0</v>
      </c>
      <c r="H512" s="14"/>
      <c r="I512" s="14"/>
      <c r="J512" s="14"/>
      <c r="K512" s="14"/>
      <c r="L512" s="14"/>
      <c r="M512" s="14"/>
      <c r="N512" s="14"/>
      <c r="O512" s="14"/>
      <c r="P512" s="57">
        <f t="shared" si="144"/>
        <v>0</v>
      </c>
      <c r="Q512" s="18">
        <f t="shared" si="135"/>
        <v>0</v>
      </c>
    </row>
    <row r="513" spans="1:17" ht="26.25" hidden="1" outlineLevel="2" collapsed="1">
      <c r="A513" s="64"/>
      <c r="B513" s="112" t="s">
        <v>172</v>
      </c>
      <c r="C513" s="55"/>
      <c r="D513" s="55"/>
      <c r="E513" s="11" t="s">
        <v>2</v>
      </c>
      <c r="F513" s="56">
        <f t="shared" si="143"/>
        <v>0</v>
      </c>
      <c r="G513" s="14">
        <f>SUM(G514:G517)</f>
        <v>0</v>
      </c>
      <c r="H513" s="14"/>
      <c r="I513" s="14"/>
      <c r="J513" s="14"/>
      <c r="K513" s="14"/>
      <c r="L513" s="14"/>
      <c r="M513" s="14"/>
      <c r="N513" s="14"/>
      <c r="O513" s="14"/>
      <c r="P513" s="57">
        <f t="shared" si="144"/>
        <v>0</v>
      </c>
      <c r="Q513" s="18">
        <f t="shared" si="135"/>
        <v>0</v>
      </c>
    </row>
    <row r="514" spans="1:17" ht="26.25" hidden="1" outlineLevel="2">
      <c r="A514" s="64"/>
      <c r="B514" s="112" t="s">
        <v>172</v>
      </c>
      <c r="C514" s="55"/>
      <c r="D514" s="55"/>
      <c r="E514" s="11" t="s">
        <v>3</v>
      </c>
      <c r="F514" s="56">
        <f t="shared" si="143"/>
        <v>0</v>
      </c>
      <c r="G514" s="14"/>
      <c r="H514" s="14"/>
      <c r="I514" s="14"/>
      <c r="J514" s="14"/>
      <c r="K514" s="14"/>
      <c r="L514" s="14"/>
      <c r="M514" s="14"/>
      <c r="N514" s="14"/>
      <c r="O514" s="14"/>
      <c r="P514" s="57">
        <f t="shared" si="144"/>
        <v>0</v>
      </c>
      <c r="Q514" s="18">
        <f aca="true" t="shared" si="160" ref="Q514:Q563">O514+N514+M514+L514+K514+J514+I514+H514+G514-F514</f>
        <v>0</v>
      </c>
    </row>
    <row r="515" spans="1:17" ht="26.25" hidden="1" outlineLevel="2">
      <c r="A515" s="64"/>
      <c r="B515" s="112" t="s">
        <v>172</v>
      </c>
      <c r="C515" s="55"/>
      <c r="D515" s="55"/>
      <c r="E515" s="11"/>
      <c r="F515" s="56">
        <f t="shared" si="143"/>
        <v>0</v>
      </c>
      <c r="G515" s="14"/>
      <c r="H515" s="14"/>
      <c r="I515" s="14"/>
      <c r="J515" s="14"/>
      <c r="K515" s="14"/>
      <c r="L515" s="14"/>
      <c r="M515" s="14"/>
      <c r="N515" s="14"/>
      <c r="O515" s="14"/>
      <c r="P515" s="57">
        <f t="shared" si="144"/>
        <v>0</v>
      </c>
      <c r="Q515" s="18">
        <f t="shared" si="160"/>
        <v>0</v>
      </c>
    </row>
    <row r="516" spans="1:17" ht="26.25" hidden="1" outlineLevel="2">
      <c r="A516" s="64"/>
      <c r="B516" s="112" t="s">
        <v>172</v>
      </c>
      <c r="C516" s="55"/>
      <c r="D516" s="55"/>
      <c r="E516" s="11" t="s">
        <v>1</v>
      </c>
      <c r="F516" s="56">
        <f t="shared" si="143"/>
        <v>0</v>
      </c>
      <c r="G516" s="14">
        <f>G517</f>
        <v>0</v>
      </c>
      <c r="H516" s="14"/>
      <c r="I516" s="14"/>
      <c r="J516" s="14"/>
      <c r="K516" s="14"/>
      <c r="L516" s="14"/>
      <c r="M516" s="14"/>
      <c r="N516" s="14"/>
      <c r="O516" s="14"/>
      <c r="P516" s="57">
        <f t="shared" si="144"/>
        <v>0</v>
      </c>
      <c r="Q516" s="18">
        <f t="shared" si="160"/>
        <v>0</v>
      </c>
    </row>
    <row r="517" spans="1:17" ht="26.25" hidden="1" outlineLevel="2">
      <c r="A517" s="64"/>
      <c r="B517" s="112" t="s">
        <v>172</v>
      </c>
      <c r="C517" s="55"/>
      <c r="D517" s="55"/>
      <c r="E517" s="11" t="s">
        <v>2</v>
      </c>
      <c r="F517" s="56">
        <f t="shared" si="143"/>
        <v>0</v>
      </c>
      <c r="G517" s="14"/>
      <c r="H517" s="14"/>
      <c r="I517" s="14"/>
      <c r="J517" s="14"/>
      <c r="K517" s="14"/>
      <c r="L517" s="14"/>
      <c r="M517" s="14"/>
      <c r="N517" s="14"/>
      <c r="O517" s="14"/>
      <c r="P517" s="57">
        <f t="shared" si="144"/>
        <v>0</v>
      </c>
      <c r="Q517" s="18">
        <f t="shared" si="160"/>
        <v>0</v>
      </c>
    </row>
    <row r="518" spans="1:17" ht="26.25" hidden="1" outlineLevel="2">
      <c r="A518" s="64"/>
      <c r="B518" s="112" t="s">
        <v>172</v>
      </c>
      <c r="C518" s="55"/>
      <c r="D518" s="55"/>
      <c r="E518" s="11"/>
      <c r="F518" s="56">
        <f t="shared" si="143"/>
        <v>0</v>
      </c>
      <c r="G518" s="14"/>
      <c r="H518" s="14"/>
      <c r="I518" s="14"/>
      <c r="J518" s="14"/>
      <c r="K518" s="14"/>
      <c r="L518" s="14"/>
      <c r="M518" s="14"/>
      <c r="N518" s="14"/>
      <c r="O518" s="14"/>
      <c r="P518" s="57">
        <f t="shared" si="144"/>
        <v>0</v>
      </c>
      <c r="Q518" s="18">
        <f t="shared" si="160"/>
        <v>0</v>
      </c>
    </row>
    <row r="519" spans="1:17" ht="26.25" hidden="1" outlineLevel="2">
      <c r="A519" s="64"/>
      <c r="B519" s="112" t="s">
        <v>172</v>
      </c>
      <c r="C519" s="55"/>
      <c r="D519" s="55"/>
      <c r="E519" s="11"/>
      <c r="F519" s="56">
        <f t="shared" si="143"/>
        <v>0</v>
      </c>
      <c r="G519" s="14"/>
      <c r="H519" s="14"/>
      <c r="I519" s="14"/>
      <c r="J519" s="14"/>
      <c r="K519" s="14"/>
      <c r="L519" s="14"/>
      <c r="M519" s="14"/>
      <c r="N519" s="14"/>
      <c r="O519" s="14"/>
      <c r="P519" s="57">
        <f t="shared" si="144"/>
        <v>0</v>
      </c>
      <c r="Q519" s="18">
        <f t="shared" si="160"/>
        <v>0</v>
      </c>
    </row>
    <row r="520" spans="1:17" ht="12.75" hidden="1">
      <c r="A520" s="64" t="s">
        <v>173</v>
      </c>
      <c r="B520" s="112" t="s">
        <v>174</v>
      </c>
      <c r="C520" s="55" t="s">
        <v>133</v>
      </c>
      <c r="D520" s="55" t="s">
        <v>137</v>
      </c>
      <c r="E520" s="11" t="s">
        <v>139</v>
      </c>
      <c r="F520" s="56">
        <f t="shared" si="143"/>
        <v>2535</v>
      </c>
      <c r="G520" s="14">
        <f>560+1000+450+50+330.5+144.5</f>
        <v>2535</v>
      </c>
      <c r="H520" s="14"/>
      <c r="I520" s="14"/>
      <c r="J520" s="14"/>
      <c r="K520" s="14"/>
      <c r="L520" s="14"/>
      <c r="M520" s="14"/>
      <c r="N520" s="14"/>
      <c r="O520" s="14"/>
      <c r="P520" s="57">
        <f t="shared" si="144"/>
        <v>0</v>
      </c>
      <c r="Q520" s="18">
        <f t="shared" si="160"/>
        <v>0</v>
      </c>
    </row>
    <row r="521" spans="1:17" ht="26.25" hidden="1">
      <c r="A521" s="74" t="s">
        <v>302</v>
      </c>
      <c r="B521" s="109" t="s">
        <v>301</v>
      </c>
      <c r="C521" s="55" t="s">
        <v>56</v>
      </c>
      <c r="D521" s="55" t="s">
        <v>137</v>
      </c>
      <c r="E521" s="11" t="s">
        <v>300</v>
      </c>
      <c r="F521" s="56">
        <f t="shared" si="143"/>
        <v>68.5</v>
      </c>
      <c r="G521" s="14">
        <v>68.5</v>
      </c>
      <c r="H521" s="14">
        <f>68.5-68.5</f>
        <v>0</v>
      </c>
      <c r="I521" s="14"/>
      <c r="J521" s="14"/>
      <c r="K521" s="14"/>
      <c r="L521" s="14"/>
      <c r="M521" s="14"/>
      <c r="N521" s="14"/>
      <c r="O521" s="14"/>
      <c r="P521" s="57">
        <f t="shared" si="144"/>
        <v>0</v>
      </c>
      <c r="Q521" s="18">
        <f t="shared" si="160"/>
        <v>0</v>
      </c>
    </row>
    <row r="522" spans="1:17" ht="15.75" customHeight="1">
      <c r="A522" s="69" t="s">
        <v>492</v>
      </c>
      <c r="B522" s="59" t="s">
        <v>544</v>
      </c>
      <c r="C522" s="86" t="s">
        <v>56</v>
      </c>
      <c r="D522" s="55" t="s">
        <v>489</v>
      </c>
      <c r="E522" s="11" t="s">
        <v>244</v>
      </c>
      <c r="F522" s="56">
        <f t="shared" si="143"/>
        <v>211.2</v>
      </c>
      <c r="G522" s="14">
        <f aca="true" t="shared" si="161" ref="G522:O522">G523</f>
        <v>0</v>
      </c>
      <c r="H522" s="14">
        <f t="shared" si="161"/>
        <v>0</v>
      </c>
      <c r="I522" s="14">
        <f t="shared" si="161"/>
        <v>0</v>
      </c>
      <c r="J522" s="14">
        <f t="shared" si="161"/>
        <v>211.2</v>
      </c>
      <c r="K522" s="14">
        <f t="shared" si="161"/>
        <v>0</v>
      </c>
      <c r="L522" s="14">
        <f t="shared" si="161"/>
        <v>0</v>
      </c>
      <c r="M522" s="14">
        <f t="shared" si="161"/>
        <v>0</v>
      </c>
      <c r="N522" s="14">
        <f t="shared" si="161"/>
        <v>0</v>
      </c>
      <c r="O522" s="14">
        <f t="shared" si="161"/>
        <v>0</v>
      </c>
      <c r="P522" s="57">
        <f t="shared" si="144"/>
        <v>0</v>
      </c>
      <c r="Q522" s="18">
        <f t="shared" si="160"/>
        <v>0</v>
      </c>
    </row>
    <row r="523" spans="1:17" ht="39.75" customHeight="1">
      <c r="A523" s="68"/>
      <c r="B523" s="61" t="s">
        <v>545</v>
      </c>
      <c r="C523" s="90" t="s">
        <v>490</v>
      </c>
      <c r="D523" s="63" t="s">
        <v>489</v>
      </c>
      <c r="E523" s="73" t="s">
        <v>516</v>
      </c>
      <c r="F523" s="56">
        <f t="shared" si="143"/>
        <v>211.2</v>
      </c>
      <c r="G523" s="14">
        <v>0</v>
      </c>
      <c r="H523" s="14">
        <v>0</v>
      </c>
      <c r="I523" s="14">
        <v>0</v>
      </c>
      <c r="J523" s="14">
        <v>211.2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57">
        <f t="shared" si="144"/>
        <v>0</v>
      </c>
      <c r="Q523" s="18">
        <f t="shared" si="160"/>
        <v>0</v>
      </c>
    </row>
    <row r="524" spans="1:17" ht="13.5" customHeight="1">
      <c r="A524" s="67" t="s">
        <v>491</v>
      </c>
      <c r="B524" s="54" t="s">
        <v>544</v>
      </c>
      <c r="C524" s="55" t="s">
        <v>56</v>
      </c>
      <c r="D524" s="55" t="s">
        <v>493</v>
      </c>
      <c r="E524" s="11" t="s">
        <v>244</v>
      </c>
      <c r="F524" s="56">
        <f t="shared" si="143"/>
        <v>239.4</v>
      </c>
      <c r="G524" s="14">
        <f aca="true" t="shared" si="162" ref="G524:O524">G525</f>
        <v>0</v>
      </c>
      <c r="H524" s="14">
        <f t="shared" si="162"/>
        <v>0</v>
      </c>
      <c r="I524" s="14">
        <f t="shared" si="162"/>
        <v>0</v>
      </c>
      <c r="J524" s="14">
        <f t="shared" si="162"/>
        <v>239.4</v>
      </c>
      <c r="K524" s="14">
        <f t="shared" si="162"/>
        <v>0</v>
      </c>
      <c r="L524" s="14">
        <f t="shared" si="162"/>
        <v>0</v>
      </c>
      <c r="M524" s="14">
        <f t="shared" si="162"/>
        <v>0</v>
      </c>
      <c r="N524" s="14">
        <f t="shared" si="162"/>
        <v>0</v>
      </c>
      <c r="O524" s="14">
        <f t="shared" si="162"/>
        <v>0</v>
      </c>
      <c r="P524" s="57">
        <f t="shared" si="144"/>
        <v>0</v>
      </c>
      <c r="Q524" s="18">
        <f t="shared" si="160"/>
        <v>0</v>
      </c>
    </row>
    <row r="525" spans="1:17" ht="37.5" customHeight="1">
      <c r="A525" s="68"/>
      <c r="B525" s="61" t="s">
        <v>606</v>
      </c>
      <c r="C525" s="55" t="s">
        <v>490</v>
      </c>
      <c r="D525" s="55" t="s">
        <v>493</v>
      </c>
      <c r="E525" s="11" t="s">
        <v>524</v>
      </c>
      <c r="F525" s="56">
        <f t="shared" si="143"/>
        <v>239.4</v>
      </c>
      <c r="G525" s="14">
        <v>0</v>
      </c>
      <c r="H525" s="14">
        <v>0</v>
      </c>
      <c r="I525" s="14">
        <v>0</v>
      </c>
      <c r="J525" s="14">
        <v>239.4</v>
      </c>
      <c r="K525" s="14">
        <v>0</v>
      </c>
      <c r="L525" s="14">
        <v>0</v>
      </c>
      <c r="M525" s="14"/>
      <c r="N525" s="14"/>
      <c r="O525" s="14"/>
      <c r="P525" s="57">
        <f t="shared" si="144"/>
        <v>0</v>
      </c>
      <c r="Q525" s="18">
        <f t="shared" si="160"/>
        <v>0</v>
      </c>
    </row>
    <row r="526" spans="1:17" ht="12.75">
      <c r="A526" s="123" t="s">
        <v>494</v>
      </c>
      <c r="B526" s="127" t="s">
        <v>592</v>
      </c>
      <c r="C526" s="55" t="s">
        <v>56</v>
      </c>
      <c r="D526" s="55" t="s">
        <v>495</v>
      </c>
      <c r="E526" s="11" t="s">
        <v>244</v>
      </c>
      <c r="F526" s="56">
        <f t="shared" si="143"/>
        <v>149.7</v>
      </c>
      <c r="G526" s="14">
        <f aca="true" t="shared" si="163" ref="G526:O526">G527</f>
        <v>0</v>
      </c>
      <c r="H526" s="14">
        <f t="shared" si="163"/>
        <v>0</v>
      </c>
      <c r="I526" s="14">
        <f t="shared" si="163"/>
        <v>0</v>
      </c>
      <c r="J526" s="14">
        <f t="shared" si="163"/>
        <v>149.7</v>
      </c>
      <c r="K526" s="14">
        <f t="shared" si="163"/>
        <v>0</v>
      </c>
      <c r="L526" s="14">
        <f t="shared" si="163"/>
        <v>0</v>
      </c>
      <c r="M526" s="14">
        <f t="shared" si="163"/>
        <v>0</v>
      </c>
      <c r="N526" s="14">
        <f t="shared" si="163"/>
        <v>0</v>
      </c>
      <c r="O526" s="14">
        <f t="shared" si="163"/>
        <v>0</v>
      </c>
      <c r="P526" s="57">
        <f t="shared" si="144"/>
        <v>0</v>
      </c>
      <c r="Q526" s="18">
        <f t="shared" si="160"/>
        <v>0</v>
      </c>
    </row>
    <row r="527" spans="1:17" ht="52.5">
      <c r="A527" s="124"/>
      <c r="B527" s="128"/>
      <c r="C527" s="55" t="s">
        <v>490</v>
      </c>
      <c r="D527" s="55" t="s">
        <v>495</v>
      </c>
      <c r="E527" s="11" t="s">
        <v>593</v>
      </c>
      <c r="F527" s="56">
        <f t="shared" si="143"/>
        <v>149.7</v>
      </c>
      <c r="G527" s="14">
        <v>0</v>
      </c>
      <c r="H527" s="14">
        <v>0</v>
      </c>
      <c r="I527" s="14">
        <v>0</v>
      </c>
      <c r="J527" s="14">
        <v>149.7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57">
        <f t="shared" si="144"/>
        <v>0</v>
      </c>
      <c r="Q527" s="18">
        <f t="shared" si="160"/>
        <v>0</v>
      </c>
    </row>
    <row r="528" spans="1:17" ht="12.75">
      <c r="A528" s="123" t="s">
        <v>496</v>
      </c>
      <c r="B528" s="127" t="s">
        <v>584</v>
      </c>
      <c r="C528" s="55" t="s">
        <v>56</v>
      </c>
      <c r="D528" s="55" t="s">
        <v>497</v>
      </c>
      <c r="E528" s="11" t="s">
        <v>244</v>
      </c>
      <c r="F528" s="56">
        <f t="shared" si="143"/>
        <v>219.5</v>
      </c>
      <c r="G528" s="14">
        <f aca="true" t="shared" si="164" ref="G528:O528">G529</f>
        <v>0</v>
      </c>
      <c r="H528" s="14">
        <f t="shared" si="164"/>
        <v>0</v>
      </c>
      <c r="I528" s="14">
        <f t="shared" si="164"/>
        <v>0</v>
      </c>
      <c r="J528" s="14">
        <f t="shared" si="164"/>
        <v>219.5</v>
      </c>
      <c r="K528" s="14">
        <f t="shared" si="164"/>
        <v>0</v>
      </c>
      <c r="L528" s="14">
        <f t="shared" si="164"/>
        <v>0</v>
      </c>
      <c r="M528" s="14">
        <f t="shared" si="164"/>
        <v>0</v>
      </c>
      <c r="N528" s="14">
        <f t="shared" si="164"/>
        <v>0</v>
      </c>
      <c r="O528" s="14">
        <f t="shared" si="164"/>
        <v>0</v>
      </c>
      <c r="P528" s="57">
        <f t="shared" si="144"/>
        <v>0</v>
      </c>
      <c r="Q528" s="18">
        <f t="shared" si="160"/>
        <v>0</v>
      </c>
    </row>
    <row r="529" spans="1:17" ht="12.75">
      <c r="A529" s="124"/>
      <c r="B529" s="128"/>
      <c r="C529" s="55" t="s">
        <v>490</v>
      </c>
      <c r="D529" s="55" t="s">
        <v>497</v>
      </c>
      <c r="E529" s="11" t="s">
        <v>225</v>
      </c>
      <c r="F529" s="56">
        <f t="shared" si="143"/>
        <v>219.5</v>
      </c>
      <c r="G529" s="14">
        <v>0</v>
      </c>
      <c r="H529" s="14">
        <v>0</v>
      </c>
      <c r="I529" s="14">
        <v>0</v>
      </c>
      <c r="J529" s="14">
        <v>219.5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57">
        <f t="shared" si="144"/>
        <v>0</v>
      </c>
      <c r="Q529" s="18">
        <f t="shared" si="160"/>
        <v>0</v>
      </c>
    </row>
    <row r="530" spans="1:17" ht="12.75">
      <c r="A530" s="123" t="s">
        <v>528</v>
      </c>
      <c r="B530" s="127" t="s">
        <v>585</v>
      </c>
      <c r="C530" s="55" t="s">
        <v>56</v>
      </c>
      <c r="D530" s="55" t="s">
        <v>498</v>
      </c>
      <c r="E530" s="11" t="s">
        <v>244</v>
      </c>
      <c r="F530" s="56">
        <f t="shared" si="143"/>
        <v>200.6</v>
      </c>
      <c r="G530" s="14">
        <f aca="true" t="shared" si="165" ref="G530:O530">G531</f>
        <v>0</v>
      </c>
      <c r="H530" s="14">
        <f t="shared" si="165"/>
        <v>0</v>
      </c>
      <c r="I530" s="14">
        <f t="shared" si="165"/>
        <v>0</v>
      </c>
      <c r="J530" s="14">
        <f t="shared" si="165"/>
        <v>200.6</v>
      </c>
      <c r="K530" s="14">
        <f t="shared" si="165"/>
        <v>0</v>
      </c>
      <c r="L530" s="14">
        <f t="shared" si="165"/>
        <v>0</v>
      </c>
      <c r="M530" s="14">
        <f t="shared" si="165"/>
        <v>0</v>
      </c>
      <c r="N530" s="14">
        <f t="shared" si="165"/>
        <v>0</v>
      </c>
      <c r="O530" s="14">
        <f t="shared" si="165"/>
        <v>0</v>
      </c>
      <c r="P530" s="57">
        <f t="shared" si="144"/>
        <v>0</v>
      </c>
      <c r="Q530" s="18">
        <f t="shared" si="160"/>
        <v>0</v>
      </c>
    </row>
    <row r="531" spans="1:17" ht="12.75">
      <c r="A531" s="124"/>
      <c r="B531" s="128"/>
      <c r="C531" s="55" t="s">
        <v>490</v>
      </c>
      <c r="D531" s="55" t="s">
        <v>498</v>
      </c>
      <c r="E531" s="11" t="s">
        <v>225</v>
      </c>
      <c r="F531" s="56">
        <f t="shared" si="143"/>
        <v>200.6</v>
      </c>
      <c r="G531" s="14">
        <v>0</v>
      </c>
      <c r="H531" s="14">
        <v>0</v>
      </c>
      <c r="I531" s="14">
        <v>0</v>
      </c>
      <c r="J531" s="14">
        <v>200.6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57">
        <f t="shared" si="144"/>
        <v>0</v>
      </c>
      <c r="Q531" s="18">
        <f t="shared" si="160"/>
        <v>0</v>
      </c>
    </row>
    <row r="532" spans="1:17" ht="26.25">
      <c r="A532" s="123" t="s">
        <v>270</v>
      </c>
      <c r="B532" s="127" t="s">
        <v>140</v>
      </c>
      <c r="C532" s="55" t="s">
        <v>142</v>
      </c>
      <c r="D532" s="55" t="s">
        <v>141</v>
      </c>
      <c r="E532" s="11" t="s">
        <v>244</v>
      </c>
      <c r="F532" s="56">
        <f aca="true" t="shared" si="166" ref="F532:F561">G532+H532+I532+J532+K532+L532+M532+N532+O532</f>
        <v>103948.09999999999</v>
      </c>
      <c r="G532" s="14">
        <f>G533+G534+G535+G536</f>
        <v>8748.3</v>
      </c>
      <c r="H532" s="14">
        <f aca="true" t="shared" si="167" ref="H532:O532">H533+H534+H535+H536</f>
        <v>8553.999999999998</v>
      </c>
      <c r="I532" s="14">
        <f t="shared" si="167"/>
        <v>9084.1</v>
      </c>
      <c r="J532" s="14">
        <f t="shared" si="167"/>
        <v>10447.500000000002</v>
      </c>
      <c r="K532" s="14">
        <f t="shared" si="167"/>
        <v>15113.699999999999</v>
      </c>
      <c r="L532" s="14">
        <f t="shared" si="167"/>
        <v>12681</v>
      </c>
      <c r="M532" s="14">
        <f t="shared" si="167"/>
        <v>13106.5</v>
      </c>
      <c r="N532" s="14">
        <f t="shared" si="167"/>
        <v>13106.5</v>
      </c>
      <c r="O532" s="14">
        <f t="shared" si="167"/>
        <v>13106.5</v>
      </c>
      <c r="P532" s="57">
        <f aca="true" t="shared" si="168" ref="P532:P561">L532+K532+J532+I532+H532+G532-F532</f>
        <v>-39319.5</v>
      </c>
      <c r="Q532" s="18">
        <f t="shared" si="160"/>
        <v>0</v>
      </c>
    </row>
    <row r="533" spans="1:18" ht="63.75" customHeight="1">
      <c r="A533" s="129"/>
      <c r="B533" s="130"/>
      <c r="C533" s="55" t="s">
        <v>142</v>
      </c>
      <c r="D533" s="55" t="s">
        <v>141</v>
      </c>
      <c r="E533" s="11" t="s">
        <v>228</v>
      </c>
      <c r="F533" s="56">
        <f t="shared" si="166"/>
        <v>98741.4</v>
      </c>
      <c r="G533" s="14">
        <f aca="true" t="shared" si="169" ref="G533:O533">G542+G547+G557</f>
        <v>8009.400000000001</v>
      </c>
      <c r="H533" s="14">
        <f t="shared" si="169"/>
        <v>8443.3</v>
      </c>
      <c r="I533" s="14">
        <f t="shared" si="169"/>
        <v>8641.5</v>
      </c>
      <c r="J533" s="14">
        <f>J542+J547+J557</f>
        <v>9864.800000000001</v>
      </c>
      <c r="K533" s="14">
        <f>K542+K547+K557</f>
        <v>11781.9</v>
      </c>
      <c r="L533" s="14">
        <f t="shared" si="169"/>
        <v>12681</v>
      </c>
      <c r="M533" s="14">
        <f t="shared" si="169"/>
        <v>13106.5</v>
      </c>
      <c r="N533" s="14">
        <f t="shared" si="169"/>
        <v>13106.5</v>
      </c>
      <c r="O533" s="14">
        <f t="shared" si="169"/>
        <v>13106.5</v>
      </c>
      <c r="P533" s="57">
        <f t="shared" si="168"/>
        <v>-39319.49999999999</v>
      </c>
      <c r="Q533" s="18">
        <f t="shared" si="160"/>
        <v>0</v>
      </c>
      <c r="R533" s="32">
        <f>F533+F536</f>
        <v>101416.29999999999</v>
      </c>
    </row>
    <row r="534" spans="1:17" ht="32.25" customHeight="1">
      <c r="A534" s="129"/>
      <c r="B534" s="130"/>
      <c r="C534" s="55" t="s">
        <v>358</v>
      </c>
      <c r="D534" s="55" t="s">
        <v>141</v>
      </c>
      <c r="E534" s="11" t="s">
        <v>38</v>
      </c>
      <c r="F534" s="56">
        <f t="shared" si="166"/>
        <v>2349.5999999999995</v>
      </c>
      <c r="G534" s="14">
        <f>G560+G561+G551+G543</f>
        <v>634.1</v>
      </c>
      <c r="H534" s="14">
        <f>H560+H561+H551</f>
        <v>63.9</v>
      </c>
      <c r="I534" s="14">
        <f>I560+I561+I551</f>
        <v>442.59999999999997</v>
      </c>
      <c r="J534" s="14">
        <f aca="true" t="shared" si="170" ref="J534:O534">J551+J558+J543</f>
        <v>582.6999999999999</v>
      </c>
      <c r="K534" s="14">
        <f t="shared" si="170"/>
        <v>626.3</v>
      </c>
      <c r="L534" s="14">
        <f t="shared" si="170"/>
        <v>0</v>
      </c>
      <c r="M534" s="14">
        <f t="shared" si="170"/>
        <v>0</v>
      </c>
      <c r="N534" s="14">
        <f t="shared" si="170"/>
        <v>0</v>
      </c>
      <c r="O534" s="14">
        <f t="shared" si="170"/>
        <v>0</v>
      </c>
      <c r="P534" s="57">
        <f t="shared" si="168"/>
        <v>0</v>
      </c>
      <c r="Q534" s="18">
        <f t="shared" si="160"/>
        <v>0</v>
      </c>
    </row>
    <row r="535" spans="1:17" ht="32.25" customHeight="1">
      <c r="A535" s="129"/>
      <c r="B535" s="130"/>
      <c r="C535" s="55" t="s">
        <v>145</v>
      </c>
      <c r="D535" s="55" t="s">
        <v>141</v>
      </c>
      <c r="E535" s="11" t="s">
        <v>282</v>
      </c>
      <c r="F535" s="56">
        <f t="shared" si="166"/>
        <v>182.2</v>
      </c>
      <c r="G535" s="14">
        <f aca="true" t="shared" si="171" ref="G535:O535">G544+G545</f>
        <v>104.8</v>
      </c>
      <c r="H535" s="14">
        <f t="shared" si="171"/>
        <v>46.8</v>
      </c>
      <c r="I535" s="14">
        <f t="shared" si="171"/>
        <v>0</v>
      </c>
      <c r="J535" s="14">
        <f t="shared" si="171"/>
        <v>0</v>
      </c>
      <c r="K535" s="14">
        <f t="shared" si="171"/>
        <v>30.6</v>
      </c>
      <c r="L535" s="14">
        <f t="shared" si="171"/>
        <v>0</v>
      </c>
      <c r="M535" s="14">
        <f t="shared" si="171"/>
        <v>0</v>
      </c>
      <c r="N535" s="14">
        <f t="shared" si="171"/>
        <v>0</v>
      </c>
      <c r="O535" s="14">
        <f t="shared" si="171"/>
        <v>0</v>
      </c>
      <c r="P535" s="57">
        <f t="shared" si="168"/>
        <v>0</v>
      </c>
      <c r="Q535" s="18">
        <f t="shared" si="160"/>
        <v>0</v>
      </c>
    </row>
    <row r="536" spans="1:17" ht="32.25" customHeight="1">
      <c r="A536" s="72"/>
      <c r="B536" s="111"/>
      <c r="C536" s="86" t="s">
        <v>56</v>
      </c>
      <c r="D536" s="49" t="s">
        <v>141</v>
      </c>
      <c r="E536" s="11" t="s">
        <v>226</v>
      </c>
      <c r="F536" s="56">
        <f t="shared" si="166"/>
        <v>2674.9</v>
      </c>
      <c r="G536" s="14">
        <f>G562</f>
        <v>0</v>
      </c>
      <c r="H536" s="14">
        <f aca="true" t="shared" si="172" ref="H536:O536">H562</f>
        <v>0</v>
      </c>
      <c r="I536" s="14">
        <f t="shared" si="172"/>
        <v>0</v>
      </c>
      <c r="J536" s="14">
        <f t="shared" si="172"/>
        <v>0</v>
      </c>
      <c r="K536" s="14">
        <f t="shared" si="172"/>
        <v>2674.9</v>
      </c>
      <c r="L536" s="14">
        <f t="shared" si="172"/>
        <v>0</v>
      </c>
      <c r="M536" s="14">
        <f t="shared" si="172"/>
        <v>0</v>
      </c>
      <c r="N536" s="14">
        <f t="shared" si="172"/>
        <v>0</v>
      </c>
      <c r="O536" s="14">
        <f t="shared" si="172"/>
        <v>0</v>
      </c>
      <c r="P536" s="57"/>
      <c r="Q536" s="18">
        <f t="shared" si="160"/>
        <v>0</v>
      </c>
    </row>
    <row r="537" spans="1:17" ht="38.25" customHeight="1">
      <c r="A537" s="123" t="s">
        <v>271</v>
      </c>
      <c r="B537" s="127" t="s">
        <v>466</v>
      </c>
      <c r="C537" s="55" t="s">
        <v>145</v>
      </c>
      <c r="D537" s="55" t="s">
        <v>144</v>
      </c>
      <c r="E537" s="11" t="s">
        <v>244</v>
      </c>
      <c r="F537" s="56">
        <f t="shared" si="166"/>
        <v>96938.30000000002</v>
      </c>
      <c r="G537" s="14">
        <f aca="true" t="shared" si="173" ref="G537:O537">G538</f>
        <v>7927.3</v>
      </c>
      <c r="H537" s="14">
        <v>8130.1</v>
      </c>
      <c r="I537" s="14">
        <f t="shared" si="173"/>
        <v>8419</v>
      </c>
      <c r="J537" s="14">
        <f t="shared" si="173"/>
        <v>9625.9</v>
      </c>
      <c r="K537" s="14">
        <f t="shared" si="173"/>
        <v>11570.300000000001</v>
      </c>
      <c r="L537" s="14">
        <f t="shared" si="173"/>
        <v>12497.3</v>
      </c>
      <c r="M537" s="14">
        <f t="shared" si="173"/>
        <v>12922.8</v>
      </c>
      <c r="N537" s="14">
        <f t="shared" si="173"/>
        <v>12922.8</v>
      </c>
      <c r="O537" s="14">
        <f t="shared" si="173"/>
        <v>12922.8</v>
      </c>
      <c r="P537" s="57">
        <f t="shared" si="168"/>
        <v>-38768.400000000016</v>
      </c>
      <c r="Q537" s="18">
        <f t="shared" si="160"/>
        <v>0</v>
      </c>
    </row>
    <row r="538" spans="1:17" ht="34.5" customHeight="1">
      <c r="A538" s="124"/>
      <c r="B538" s="128"/>
      <c r="C538" s="55" t="s">
        <v>145</v>
      </c>
      <c r="D538" s="55" t="s">
        <v>144</v>
      </c>
      <c r="E538" s="11" t="s">
        <v>225</v>
      </c>
      <c r="F538" s="56">
        <f t="shared" si="166"/>
        <v>96938.30000000002</v>
      </c>
      <c r="G538" s="14">
        <f>G542+G543+G544</f>
        <v>7927.3</v>
      </c>
      <c r="H538" s="14">
        <v>8130.1</v>
      </c>
      <c r="I538" s="14">
        <f aca="true" t="shared" si="174" ref="I538:O538">I542</f>
        <v>8419</v>
      </c>
      <c r="J538" s="14">
        <f t="shared" si="174"/>
        <v>9625.9</v>
      </c>
      <c r="K538" s="14">
        <f>K542+K545</f>
        <v>11570.300000000001</v>
      </c>
      <c r="L538" s="14">
        <f t="shared" si="174"/>
        <v>12497.3</v>
      </c>
      <c r="M538" s="14">
        <f t="shared" si="174"/>
        <v>12922.8</v>
      </c>
      <c r="N538" s="14">
        <f t="shared" si="174"/>
        <v>12922.8</v>
      </c>
      <c r="O538" s="14">
        <f t="shared" si="174"/>
        <v>12922.8</v>
      </c>
      <c r="P538" s="57">
        <f t="shared" si="168"/>
        <v>-38768.400000000016</v>
      </c>
      <c r="Q538" s="18">
        <f t="shared" si="160"/>
        <v>0</v>
      </c>
    </row>
    <row r="539" spans="1:17" ht="12.75" hidden="1">
      <c r="A539" s="64"/>
      <c r="B539" s="112"/>
      <c r="C539" s="55"/>
      <c r="D539" s="55"/>
      <c r="E539" s="11" t="s">
        <v>1</v>
      </c>
      <c r="F539" s="56">
        <f t="shared" si="166"/>
        <v>28367.7</v>
      </c>
      <c r="G539" s="14">
        <f aca="true" t="shared" si="175" ref="G539:L539">G540</f>
        <v>7787.1</v>
      </c>
      <c r="H539" s="14">
        <f t="shared" si="175"/>
        <v>8083.3</v>
      </c>
      <c r="I539" s="14"/>
      <c r="J539" s="14"/>
      <c r="K539" s="14"/>
      <c r="L539" s="14">
        <f t="shared" si="175"/>
        <v>12497.3</v>
      </c>
      <c r="M539" s="14"/>
      <c r="N539" s="14"/>
      <c r="O539" s="14"/>
      <c r="P539" s="57">
        <f t="shared" si="168"/>
        <v>0</v>
      </c>
      <c r="Q539" s="18">
        <f t="shared" si="160"/>
        <v>0</v>
      </c>
    </row>
    <row r="540" spans="1:17" ht="12.75" hidden="1">
      <c r="A540" s="64"/>
      <c r="B540" s="112"/>
      <c r="C540" s="55"/>
      <c r="D540" s="55"/>
      <c r="E540" s="11" t="s">
        <v>2</v>
      </c>
      <c r="F540" s="56">
        <f t="shared" si="166"/>
        <v>28367.7</v>
      </c>
      <c r="G540" s="14">
        <f>SUM(G541:G541)</f>
        <v>7787.1</v>
      </c>
      <c r="H540" s="14">
        <f>SUM(H541:H541)</f>
        <v>8083.3</v>
      </c>
      <c r="I540" s="14"/>
      <c r="J540" s="14"/>
      <c r="K540" s="14"/>
      <c r="L540" s="14">
        <f>SUM(L541:L541)</f>
        <v>12497.3</v>
      </c>
      <c r="M540" s="14"/>
      <c r="N540" s="14"/>
      <c r="O540" s="14"/>
      <c r="P540" s="57">
        <f t="shared" si="168"/>
        <v>0</v>
      </c>
      <c r="Q540" s="18">
        <f t="shared" si="160"/>
        <v>0</v>
      </c>
    </row>
    <row r="541" spans="1:17" ht="40.5" customHeight="1">
      <c r="A541" s="74" t="s">
        <v>272</v>
      </c>
      <c r="B541" s="127" t="s">
        <v>546</v>
      </c>
      <c r="C541" s="55" t="s">
        <v>145</v>
      </c>
      <c r="D541" s="55" t="s">
        <v>146</v>
      </c>
      <c r="E541" s="11" t="s">
        <v>244</v>
      </c>
      <c r="F541" s="56">
        <f t="shared" si="166"/>
        <v>96720.70000000001</v>
      </c>
      <c r="G541" s="14">
        <f aca="true" t="shared" si="176" ref="G541:O541">G542</f>
        <v>7787.1</v>
      </c>
      <c r="H541" s="14">
        <f t="shared" si="176"/>
        <v>8083.3</v>
      </c>
      <c r="I541" s="14">
        <f t="shared" si="176"/>
        <v>8419</v>
      </c>
      <c r="J541" s="14">
        <f t="shared" si="176"/>
        <v>9625.9</v>
      </c>
      <c r="K541" s="14">
        <f t="shared" si="176"/>
        <v>11539.7</v>
      </c>
      <c r="L541" s="14">
        <f t="shared" si="176"/>
        <v>12497.3</v>
      </c>
      <c r="M541" s="14">
        <f t="shared" si="176"/>
        <v>12922.8</v>
      </c>
      <c r="N541" s="14">
        <f t="shared" si="176"/>
        <v>12922.8</v>
      </c>
      <c r="O541" s="14">
        <f t="shared" si="176"/>
        <v>12922.8</v>
      </c>
      <c r="P541" s="57">
        <f t="shared" si="168"/>
        <v>-38768.40000000001</v>
      </c>
      <c r="Q541" s="18">
        <f t="shared" si="160"/>
        <v>0</v>
      </c>
    </row>
    <row r="542" spans="1:17" ht="12.75">
      <c r="A542" s="72"/>
      <c r="B542" s="128"/>
      <c r="C542" s="55" t="s">
        <v>145</v>
      </c>
      <c r="D542" s="55" t="s">
        <v>146</v>
      </c>
      <c r="E542" s="11" t="s">
        <v>225</v>
      </c>
      <c r="F542" s="56">
        <f t="shared" si="166"/>
        <v>96720.70000000001</v>
      </c>
      <c r="G542" s="14">
        <f>7370.3+416.8</f>
        <v>7787.1</v>
      </c>
      <c r="H542" s="14">
        <v>8083.3</v>
      </c>
      <c r="I542" s="14">
        <v>8419</v>
      </c>
      <c r="J542" s="14">
        <f>8882.2+789.9-46.2</f>
        <v>9625.9</v>
      </c>
      <c r="K542" s="14">
        <v>11539.7</v>
      </c>
      <c r="L542" s="14">
        <v>12497.3</v>
      </c>
      <c r="M542" s="14">
        <v>12922.8</v>
      </c>
      <c r="N542" s="14">
        <v>12922.8</v>
      </c>
      <c r="O542" s="14">
        <v>12922.8</v>
      </c>
      <c r="P542" s="57">
        <f t="shared" si="168"/>
        <v>-38768.40000000001</v>
      </c>
      <c r="Q542" s="18">
        <f t="shared" si="160"/>
        <v>0</v>
      </c>
    </row>
    <row r="543" spans="1:17" ht="46.5" customHeight="1">
      <c r="A543" s="123" t="s">
        <v>299</v>
      </c>
      <c r="B543" s="127" t="s">
        <v>607</v>
      </c>
      <c r="C543" s="55" t="s">
        <v>145</v>
      </c>
      <c r="D543" s="55" t="s">
        <v>298</v>
      </c>
      <c r="E543" s="11" t="s">
        <v>38</v>
      </c>
      <c r="F543" s="56">
        <f t="shared" si="166"/>
        <v>35.4</v>
      </c>
      <c r="G543" s="14">
        <v>35.4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57">
        <f t="shared" si="168"/>
        <v>0</v>
      </c>
      <c r="Q543" s="18">
        <f t="shared" si="160"/>
        <v>0</v>
      </c>
    </row>
    <row r="544" spans="1:17" ht="36.75" customHeight="1">
      <c r="A544" s="124"/>
      <c r="B544" s="128"/>
      <c r="C544" s="55" t="s">
        <v>145</v>
      </c>
      <c r="D544" s="55" t="s">
        <v>298</v>
      </c>
      <c r="E544" s="11" t="s">
        <v>282</v>
      </c>
      <c r="F544" s="56">
        <f t="shared" si="166"/>
        <v>104.8</v>
      </c>
      <c r="G544" s="14">
        <v>104.8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57">
        <f t="shared" si="168"/>
        <v>0</v>
      </c>
      <c r="Q544" s="18">
        <f t="shared" si="160"/>
        <v>0</v>
      </c>
    </row>
    <row r="545" spans="1:25" s="15" customFormat="1" ht="36.75" customHeight="1">
      <c r="A545" s="91" t="s">
        <v>424</v>
      </c>
      <c r="B545" s="112" t="s">
        <v>422</v>
      </c>
      <c r="C545" s="62" t="s">
        <v>145</v>
      </c>
      <c r="D545" s="11" t="s">
        <v>423</v>
      </c>
      <c r="E545" s="11" t="s">
        <v>282</v>
      </c>
      <c r="F545" s="56">
        <f t="shared" si="166"/>
        <v>77.4</v>
      </c>
      <c r="G545" s="14">
        <v>0</v>
      </c>
      <c r="H545" s="14">
        <v>46.8</v>
      </c>
      <c r="I545" s="14">
        <v>0</v>
      </c>
      <c r="J545" s="14">
        <v>0</v>
      </c>
      <c r="K545" s="14">
        <v>30.6</v>
      </c>
      <c r="L545" s="14">
        <v>0</v>
      </c>
      <c r="M545" s="14">
        <v>0</v>
      </c>
      <c r="N545" s="14">
        <v>0</v>
      </c>
      <c r="O545" s="14">
        <v>0</v>
      </c>
      <c r="P545" s="57">
        <f t="shared" si="168"/>
        <v>0</v>
      </c>
      <c r="Q545" s="18">
        <f t="shared" si="160"/>
        <v>0</v>
      </c>
      <c r="R545" s="16"/>
      <c r="S545" s="17"/>
      <c r="T545" s="17"/>
      <c r="U545" s="17"/>
      <c r="V545" s="17"/>
      <c r="W545" s="17"/>
      <c r="X545" s="17"/>
      <c r="Y545" s="17"/>
    </row>
    <row r="546" spans="1:17" ht="15.75" customHeight="1">
      <c r="A546" s="67" t="s">
        <v>273</v>
      </c>
      <c r="B546" s="54" t="s">
        <v>548</v>
      </c>
      <c r="C546" s="55" t="s">
        <v>148</v>
      </c>
      <c r="D546" s="55" t="s">
        <v>147</v>
      </c>
      <c r="E546" s="11" t="s">
        <v>244</v>
      </c>
      <c r="F546" s="56">
        <f t="shared" si="166"/>
        <v>3588.3999999999987</v>
      </c>
      <c r="G546" s="14">
        <f aca="true" t="shared" si="177" ref="G546:O546">G547+G548</f>
        <v>509.5</v>
      </c>
      <c r="H546" s="14">
        <f t="shared" si="177"/>
        <v>321.7</v>
      </c>
      <c r="I546" s="14">
        <f>I547+I548</f>
        <v>561.5999999999999</v>
      </c>
      <c r="J546" s="14">
        <f t="shared" si="177"/>
        <v>705.0999999999999</v>
      </c>
      <c r="K546" s="14">
        <f>K547+K548</f>
        <v>755.6999999999999</v>
      </c>
      <c r="L546" s="14">
        <f t="shared" si="177"/>
        <v>183.7</v>
      </c>
      <c r="M546" s="14">
        <f t="shared" si="177"/>
        <v>183.7</v>
      </c>
      <c r="N546" s="14">
        <f t="shared" si="177"/>
        <v>183.7</v>
      </c>
      <c r="O546" s="14">
        <f t="shared" si="177"/>
        <v>183.7</v>
      </c>
      <c r="P546" s="57">
        <f t="shared" si="168"/>
        <v>-551.0999999999995</v>
      </c>
      <c r="Q546" s="18">
        <f t="shared" si="160"/>
        <v>0</v>
      </c>
    </row>
    <row r="547" spans="1:25" s="16" customFormat="1" ht="26.25">
      <c r="A547" s="68"/>
      <c r="B547" s="61" t="s">
        <v>549</v>
      </c>
      <c r="C547" s="55" t="s">
        <v>148</v>
      </c>
      <c r="D547" s="55" t="s">
        <v>147</v>
      </c>
      <c r="E547" s="11" t="s">
        <v>228</v>
      </c>
      <c r="F547" s="56">
        <f t="shared" si="166"/>
        <v>1819.0000000000002</v>
      </c>
      <c r="G547" s="14">
        <f aca="true" t="shared" si="178" ref="G547:O548">G550</f>
        <v>183.7</v>
      </c>
      <c r="H547" s="14">
        <f t="shared" si="178"/>
        <v>321.7</v>
      </c>
      <c r="I547" s="14">
        <f t="shared" si="178"/>
        <v>183.7</v>
      </c>
      <c r="J547" s="14">
        <f t="shared" si="178"/>
        <v>195.2</v>
      </c>
      <c r="K547" s="14">
        <f>K550</f>
        <v>199.9</v>
      </c>
      <c r="L547" s="14">
        <f t="shared" si="178"/>
        <v>183.7</v>
      </c>
      <c r="M547" s="14">
        <f t="shared" si="178"/>
        <v>183.7</v>
      </c>
      <c r="N547" s="14">
        <f t="shared" si="178"/>
        <v>183.7</v>
      </c>
      <c r="O547" s="14">
        <f t="shared" si="178"/>
        <v>183.7</v>
      </c>
      <c r="P547" s="57">
        <f t="shared" si="168"/>
        <v>-551.1000000000001</v>
      </c>
      <c r="Q547" s="18">
        <f t="shared" si="160"/>
        <v>0</v>
      </c>
      <c r="S547" s="17"/>
      <c r="T547" s="17"/>
      <c r="U547" s="17"/>
      <c r="V547" s="17"/>
      <c r="W547" s="17"/>
      <c r="X547" s="17"/>
      <c r="Y547" s="17"/>
    </row>
    <row r="548" spans="1:25" s="16" customFormat="1" ht="30.75" customHeight="1">
      <c r="A548" s="68"/>
      <c r="B548" s="61"/>
      <c r="C548" s="55" t="s">
        <v>148</v>
      </c>
      <c r="D548" s="55" t="s">
        <v>147</v>
      </c>
      <c r="E548" s="11" t="s">
        <v>38</v>
      </c>
      <c r="F548" s="56">
        <f t="shared" si="166"/>
        <v>1769.3999999999999</v>
      </c>
      <c r="G548" s="14">
        <f t="shared" si="178"/>
        <v>325.8</v>
      </c>
      <c r="H548" s="14">
        <f t="shared" si="178"/>
        <v>0</v>
      </c>
      <c r="I548" s="14">
        <f t="shared" si="178"/>
        <v>377.9</v>
      </c>
      <c r="J548" s="14">
        <f t="shared" si="178"/>
        <v>509.9</v>
      </c>
      <c r="K548" s="14">
        <f t="shared" si="178"/>
        <v>555.8</v>
      </c>
      <c r="L548" s="14">
        <f t="shared" si="178"/>
        <v>0</v>
      </c>
      <c r="M548" s="14">
        <f t="shared" si="178"/>
        <v>0</v>
      </c>
      <c r="N548" s="14">
        <f t="shared" si="178"/>
        <v>0</v>
      </c>
      <c r="O548" s="14">
        <f t="shared" si="178"/>
        <v>0</v>
      </c>
      <c r="P548" s="57">
        <f t="shared" si="168"/>
        <v>0</v>
      </c>
      <c r="Q548" s="18">
        <f t="shared" si="160"/>
        <v>0</v>
      </c>
      <c r="S548" s="17"/>
      <c r="T548" s="17"/>
      <c r="U548" s="17"/>
      <c r="V548" s="17"/>
      <c r="W548" s="17"/>
      <c r="X548" s="17"/>
      <c r="Y548" s="17"/>
    </row>
    <row r="549" spans="1:25" s="16" customFormat="1" ht="36.75" customHeight="1">
      <c r="A549" s="74" t="s">
        <v>274</v>
      </c>
      <c r="B549" s="109" t="s">
        <v>594</v>
      </c>
      <c r="C549" s="55" t="s">
        <v>148</v>
      </c>
      <c r="D549" s="55" t="s">
        <v>149</v>
      </c>
      <c r="E549" s="11" t="s">
        <v>244</v>
      </c>
      <c r="F549" s="56">
        <f t="shared" si="166"/>
        <v>1819.0000000000002</v>
      </c>
      <c r="G549" s="14">
        <f>G550</f>
        <v>183.7</v>
      </c>
      <c r="H549" s="14">
        <f>H550</f>
        <v>321.7</v>
      </c>
      <c r="I549" s="14">
        <f>I550</f>
        <v>183.7</v>
      </c>
      <c r="J549" s="14">
        <f>J550</f>
        <v>195.2</v>
      </c>
      <c r="K549" s="14">
        <f>K550</f>
        <v>199.9</v>
      </c>
      <c r="L549" s="14">
        <f>L550+L551</f>
        <v>183.7</v>
      </c>
      <c r="M549" s="14">
        <f>M550+M551</f>
        <v>183.7</v>
      </c>
      <c r="N549" s="14">
        <f>N550+N551</f>
        <v>183.7</v>
      </c>
      <c r="O549" s="14">
        <f>O550+O551</f>
        <v>183.7</v>
      </c>
      <c r="P549" s="57">
        <f t="shared" si="168"/>
        <v>-551.1000000000001</v>
      </c>
      <c r="Q549" s="18">
        <f t="shared" si="160"/>
        <v>0</v>
      </c>
      <c r="S549" s="17"/>
      <c r="T549" s="17"/>
      <c r="U549" s="17"/>
      <c r="V549" s="17"/>
      <c r="W549" s="17"/>
      <c r="X549" s="17"/>
      <c r="Y549" s="17"/>
    </row>
    <row r="550" spans="1:25" s="16" customFormat="1" ht="65.25" customHeight="1">
      <c r="A550" s="66"/>
      <c r="B550" s="110"/>
      <c r="C550" s="55" t="s">
        <v>148</v>
      </c>
      <c r="D550" s="55" t="s">
        <v>149</v>
      </c>
      <c r="E550" s="11" t="s">
        <v>228</v>
      </c>
      <c r="F550" s="56">
        <f t="shared" si="166"/>
        <v>1819.0000000000002</v>
      </c>
      <c r="G550" s="14">
        <v>183.7</v>
      </c>
      <c r="H550" s="14">
        <v>321.7</v>
      </c>
      <c r="I550" s="14">
        <v>183.7</v>
      </c>
      <c r="J550" s="14">
        <v>195.2</v>
      </c>
      <c r="K550" s="14">
        <v>199.9</v>
      </c>
      <c r="L550" s="14">
        <v>183.7</v>
      </c>
      <c r="M550" s="14">
        <v>183.7</v>
      </c>
      <c r="N550" s="14">
        <v>183.7</v>
      </c>
      <c r="O550" s="14">
        <v>183.7</v>
      </c>
      <c r="P550" s="57">
        <f t="shared" si="168"/>
        <v>-551.1000000000001</v>
      </c>
      <c r="Q550" s="18">
        <f t="shared" si="160"/>
        <v>0</v>
      </c>
      <c r="S550" s="17"/>
      <c r="T550" s="17"/>
      <c r="U550" s="17"/>
      <c r="V550" s="17"/>
      <c r="W550" s="17"/>
      <c r="X550" s="17"/>
      <c r="Y550" s="17"/>
    </row>
    <row r="551" spans="1:25" s="16" customFormat="1" ht="35.25" customHeight="1">
      <c r="A551" s="64" t="s">
        <v>586</v>
      </c>
      <c r="B551" s="112" t="s">
        <v>595</v>
      </c>
      <c r="C551" s="55" t="s">
        <v>148</v>
      </c>
      <c r="D551" s="55" t="s">
        <v>290</v>
      </c>
      <c r="E551" s="11" t="s">
        <v>38</v>
      </c>
      <c r="F551" s="56">
        <f t="shared" si="166"/>
        <v>1769.3999999999999</v>
      </c>
      <c r="G551" s="14">
        <v>325.8</v>
      </c>
      <c r="H551" s="14">
        <v>0</v>
      </c>
      <c r="I551" s="14">
        <v>377.9</v>
      </c>
      <c r="J551" s="14">
        <v>509.9</v>
      </c>
      <c r="K551" s="14">
        <v>555.8</v>
      </c>
      <c r="L551" s="14">
        <v>0</v>
      </c>
      <c r="M551" s="14">
        <v>0</v>
      </c>
      <c r="N551" s="14">
        <v>0</v>
      </c>
      <c r="O551" s="14">
        <v>0</v>
      </c>
      <c r="P551" s="57">
        <f t="shared" si="168"/>
        <v>0</v>
      </c>
      <c r="Q551" s="18">
        <f t="shared" si="160"/>
        <v>0</v>
      </c>
      <c r="S551" s="17"/>
      <c r="T551" s="17"/>
      <c r="U551" s="17"/>
      <c r="V551" s="17"/>
      <c r="W551" s="17"/>
      <c r="X551" s="17"/>
      <c r="Y551" s="17"/>
    </row>
    <row r="552" spans="1:25" s="16" customFormat="1" ht="41.25" customHeight="1">
      <c r="A552" s="123" t="s">
        <v>275</v>
      </c>
      <c r="B552" s="127" t="s">
        <v>150</v>
      </c>
      <c r="C552" s="55" t="s">
        <v>143</v>
      </c>
      <c r="D552" s="55" t="s">
        <v>151</v>
      </c>
      <c r="E552" s="11" t="s">
        <v>244</v>
      </c>
      <c r="F552" s="56">
        <f t="shared" si="166"/>
        <v>746.5</v>
      </c>
      <c r="G552" s="14">
        <f aca="true" t="shared" si="179" ref="G552:O552">G553</f>
        <v>311.5</v>
      </c>
      <c r="H552" s="14">
        <f t="shared" si="179"/>
        <v>102.19999999999999</v>
      </c>
      <c r="I552" s="14">
        <f t="shared" si="179"/>
        <v>103.5</v>
      </c>
      <c r="J552" s="14">
        <f t="shared" si="179"/>
        <v>116.5</v>
      </c>
      <c r="K552" s="14">
        <f t="shared" si="179"/>
        <v>112.8</v>
      </c>
      <c r="L552" s="14">
        <f t="shared" si="179"/>
        <v>0</v>
      </c>
      <c r="M552" s="14">
        <f t="shared" si="179"/>
        <v>0</v>
      </c>
      <c r="N552" s="14">
        <f t="shared" si="179"/>
        <v>0</v>
      </c>
      <c r="O552" s="14">
        <f t="shared" si="179"/>
        <v>0</v>
      </c>
      <c r="P552" s="57">
        <f t="shared" si="168"/>
        <v>0</v>
      </c>
      <c r="Q552" s="18">
        <f t="shared" si="160"/>
        <v>0</v>
      </c>
      <c r="S552" s="17"/>
      <c r="T552" s="17"/>
      <c r="U552" s="17"/>
      <c r="V552" s="17"/>
      <c r="W552" s="17"/>
      <c r="X552" s="17"/>
      <c r="Y552" s="17"/>
    </row>
    <row r="553" spans="1:25" s="16" customFormat="1" ht="40.5" customHeight="1">
      <c r="A553" s="129"/>
      <c r="B553" s="130"/>
      <c r="C553" s="55" t="s">
        <v>143</v>
      </c>
      <c r="D553" s="55" t="s">
        <v>151</v>
      </c>
      <c r="E553" s="11" t="s">
        <v>225</v>
      </c>
      <c r="F553" s="56">
        <f t="shared" si="166"/>
        <v>746.5</v>
      </c>
      <c r="G553" s="14">
        <f>G557+G560+G561</f>
        <v>311.5</v>
      </c>
      <c r="H553" s="14">
        <f>H557+H560</f>
        <v>102.19999999999999</v>
      </c>
      <c r="I553" s="14">
        <f>I557+I560</f>
        <v>103.5</v>
      </c>
      <c r="J553" s="14">
        <f aca="true" t="shared" si="180" ref="J553:O553">J555+J554</f>
        <v>116.5</v>
      </c>
      <c r="K553" s="14">
        <f t="shared" si="180"/>
        <v>112.8</v>
      </c>
      <c r="L553" s="14">
        <f t="shared" si="180"/>
        <v>0</v>
      </c>
      <c r="M553" s="14">
        <f t="shared" si="180"/>
        <v>0</v>
      </c>
      <c r="N553" s="14">
        <f t="shared" si="180"/>
        <v>0</v>
      </c>
      <c r="O553" s="14">
        <f t="shared" si="180"/>
        <v>0</v>
      </c>
      <c r="P553" s="57">
        <f t="shared" si="168"/>
        <v>0</v>
      </c>
      <c r="Q553" s="18">
        <f t="shared" si="160"/>
        <v>0</v>
      </c>
      <c r="S553" s="17"/>
      <c r="T553" s="17"/>
      <c r="U553" s="17"/>
      <c r="V553" s="17"/>
      <c r="W553" s="17"/>
      <c r="X553" s="17"/>
      <c r="Y553" s="17"/>
    </row>
    <row r="554" spans="1:25" s="16" customFormat="1" ht="40.5" customHeight="1">
      <c r="A554" s="129"/>
      <c r="B554" s="130"/>
      <c r="C554" s="11">
        <v>1003</v>
      </c>
      <c r="D554" s="11" t="s">
        <v>151</v>
      </c>
      <c r="E554" s="11" t="s">
        <v>18</v>
      </c>
      <c r="F554" s="56">
        <f t="shared" si="166"/>
        <v>201.7</v>
      </c>
      <c r="G554" s="92">
        <v>38.6</v>
      </c>
      <c r="H554" s="92">
        <v>38.3</v>
      </c>
      <c r="I554" s="92">
        <v>38.8</v>
      </c>
      <c r="J554" s="93">
        <f aca="true" t="shared" si="181" ref="J554:O555">J557</f>
        <v>43.7</v>
      </c>
      <c r="K554" s="93">
        <f t="shared" si="181"/>
        <v>42.3</v>
      </c>
      <c r="L554" s="93">
        <f t="shared" si="181"/>
        <v>0</v>
      </c>
      <c r="M554" s="93">
        <f t="shared" si="181"/>
        <v>0</v>
      </c>
      <c r="N554" s="93">
        <f t="shared" si="181"/>
        <v>0</v>
      </c>
      <c r="O554" s="93">
        <f t="shared" si="181"/>
        <v>0</v>
      </c>
      <c r="P554" s="57">
        <f t="shared" si="168"/>
        <v>0</v>
      </c>
      <c r="Q554" s="18">
        <f t="shared" si="160"/>
        <v>0</v>
      </c>
      <c r="S554" s="17"/>
      <c r="T554" s="17"/>
      <c r="U554" s="17"/>
      <c r="V554" s="17"/>
      <c r="W554" s="17"/>
      <c r="X554" s="17"/>
      <c r="Y554" s="17"/>
    </row>
    <row r="555" spans="1:25" s="16" customFormat="1" ht="40.5" customHeight="1">
      <c r="A555" s="124"/>
      <c r="B555" s="128"/>
      <c r="C555" s="11">
        <v>1003</v>
      </c>
      <c r="D555" s="11" t="s">
        <v>151</v>
      </c>
      <c r="E555" s="11" t="s">
        <v>38</v>
      </c>
      <c r="F555" s="56">
        <f t="shared" si="166"/>
        <v>544.8</v>
      </c>
      <c r="G555" s="92">
        <v>272.9</v>
      </c>
      <c r="H555" s="92">
        <v>63.9</v>
      </c>
      <c r="I555" s="92">
        <v>64.7</v>
      </c>
      <c r="J555" s="93">
        <f t="shared" si="181"/>
        <v>72.8</v>
      </c>
      <c r="K555" s="93">
        <f t="shared" si="181"/>
        <v>70.5</v>
      </c>
      <c r="L555" s="93">
        <f t="shared" si="181"/>
        <v>0</v>
      </c>
      <c r="M555" s="93">
        <f t="shared" si="181"/>
        <v>0</v>
      </c>
      <c r="N555" s="93">
        <f t="shared" si="181"/>
        <v>0</v>
      </c>
      <c r="O555" s="93">
        <f t="shared" si="181"/>
        <v>0</v>
      </c>
      <c r="P555" s="57">
        <f t="shared" si="168"/>
        <v>0</v>
      </c>
      <c r="Q555" s="18">
        <f t="shared" si="160"/>
        <v>0</v>
      </c>
      <c r="S555" s="17"/>
      <c r="T555" s="17"/>
      <c r="U555" s="17"/>
      <c r="V555" s="17"/>
      <c r="W555" s="17"/>
      <c r="X555" s="17"/>
      <c r="Y555" s="17"/>
    </row>
    <row r="556" spans="1:25" s="16" customFormat="1" ht="63" customHeight="1">
      <c r="A556" s="131" t="s">
        <v>276</v>
      </c>
      <c r="B556" s="127" t="s">
        <v>608</v>
      </c>
      <c r="C556" s="86" t="s">
        <v>143</v>
      </c>
      <c r="D556" s="55" t="s">
        <v>359</v>
      </c>
      <c r="E556" s="11" t="s">
        <v>433</v>
      </c>
      <c r="F556" s="56">
        <f t="shared" si="166"/>
        <v>537.9</v>
      </c>
      <c r="G556" s="14">
        <f aca="true" t="shared" si="182" ref="G556:O556">G557+G558</f>
        <v>102.9</v>
      </c>
      <c r="H556" s="14">
        <f t="shared" si="182"/>
        <v>102.19999999999999</v>
      </c>
      <c r="I556" s="14">
        <f t="shared" si="182"/>
        <v>103.5</v>
      </c>
      <c r="J556" s="14">
        <f t="shared" si="182"/>
        <v>116.5</v>
      </c>
      <c r="K556" s="14">
        <f t="shared" si="182"/>
        <v>112.8</v>
      </c>
      <c r="L556" s="14">
        <f t="shared" si="182"/>
        <v>0</v>
      </c>
      <c r="M556" s="14">
        <f t="shared" si="182"/>
        <v>0</v>
      </c>
      <c r="N556" s="14">
        <f t="shared" si="182"/>
        <v>0</v>
      </c>
      <c r="O556" s="14">
        <f t="shared" si="182"/>
        <v>0</v>
      </c>
      <c r="P556" s="57">
        <f t="shared" si="168"/>
        <v>0</v>
      </c>
      <c r="Q556" s="18">
        <f t="shared" si="160"/>
        <v>0</v>
      </c>
      <c r="S556" s="17"/>
      <c r="T556" s="17"/>
      <c r="U556" s="17"/>
      <c r="V556" s="17"/>
      <c r="W556" s="17"/>
      <c r="X556" s="17"/>
      <c r="Y556" s="17"/>
    </row>
    <row r="557" spans="1:25" s="16" customFormat="1" ht="12.75">
      <c r="A557" s="131"/>
      <c r="B557" s="130"/>
      <c r="C557" s="86" t="s">
        <v>143</v>
      </c>
      <c r="D557" s="55" t="s">
        <v>359</v>
      </c>
      <c r="E557" s="11" t="s">
        <v>18</v>
      </c>
      <c r="F557" s="56">
        <f t="shared" si="166"/>
        <v>201.7</v>
      </c>
      <c r="G557" s="93">
        <v>38.6</v>
      </c>
      <c r="H557" s="93">
        <v>38.3</v>
      </c>
      <c r="I557" s="93">
        <v>38.8</v>
      </c>
      <c r="J557" s="93">
        <v>43.7</v>
      </c>
      <c r="K557" s="93">
        <v>42.3</v>
      </c>
      <c r="L557" s="93">
        <v>0</v>
      </c>
      <c r="M557" s="93">
        <v>0</v>
      </c>
      <c r="N557" s="93">
        <v>0</v>
      </c>
      <c r="O557" s="93">
        <v>0</v>
      </c>
      <c r="P557" s="57">
        <f t="shared" si="168"/>
        <v>0</v>
      </c>
      <c r="Q557" s="18">
        <f t="shared" si="160"/>
        <v>0</v>
      </c>
      <c r="S557" s="17"/>
      <c r="T557" s="17"/>
      <c r="U557" s="17"/>
      <c r="V557" s="17"/>
      <c r="W557" s="17"/>
      <c r="X557" s="17"/>
      <c r="Y557" s="17"/>
    </row>
    <row r="558" spans="1:25" s="16" customFormat="1" ht="12.75">
      <c r="A558" s="131"/>
      <c r="B558" s="128"/>
      <c r="C558" s="86" t="s">
        <v>143</v>
      </c>
      <c r="D558" s="55" t="s">
        <v>359</v>
      </c>
      <c r="E558" s="11" t="s">
        <v>38</v>
      </c>
      <c r="F558" s="56">
        <f t="shared" si="166"/>
        <v>336.2</v>
      </c>
      <c r="G558" s="93">
        <v>64.3</v>
      </c>
      <c r="H558" s="93">
        <v>63.9</v>
      </c>
      <c r="I558" s="93">
        <v>64.7</v>
      </c>
      <c r="J558" s="93">
        <v>72.8</v>
      </c>
      <c r="K558" s="93">
        <v>70.5</v>
      </c>
      <c r="L558" s="93">
        <v>0</v>
      </c>
      <c r="M558" s="93">
        <v>0</v>
      </c>
      <c r="N558" s="93">
        <v>0</v>
      </c>
      <c r="O558" s="93">
        <v>0</v>
      </c>
      <c r="P558" s="57">
        <f t="shared" si="168"/>
        <v>0</v>
      </c>
      <c r="Q558" s="18">
        <f t="shared" si="160"/>
        <v>0</v>
      </c>
      <c r="S558" s="17"/>
      <c r="T558" s="17"/>
      <c r="U558" s="17"/>
      <c r="V558" s="17"/>
      <c r="W558" s="17"/>
      <c r="X558" s="17"/>
      <c r="Y558" s="17"/>
    </row>
    <row r="559" spans="1:25" s="16" customFormat="1" ht="67.5" customHeight="1" hidden="1">
      <c r="A559" s="123"/>
      <c r="B559" s="127"/>
      <c r="C559" s="55" t="s">
        <v>143</v>
      </c>
      <c r="D559" s="55" t="s">
        <v>359</v>
      </c>
      <c r="E559" s="11" t="s">
        <v>152</v>
      </c>
      <c r="F559" s="56">
        <f t="shared" si="166"/>
        <v>322.29999999999995</v>
      </c>
      <c r="G559" s="14">
        <f aca="true" t="shared" si="183" ref="G559:L559">G560</f>
        <v>64.3</v>
      </c>
      <c r="H559" s="14">
        <f t="shared" si="183"/>
        <v>63.9</v>
      </c>
      <c r="I559" s="14">
        <f t="shared" si="183"/>
        <v>64.7</v>
      </c>
      <c r="J559" s="14">
        <f t="shared" si="183"/>
        <v>64.7</v>
      </c>
      <c r="K559" s="14">
        <f t="shared" si="183"/>
        <v>64.7</v>
      </c>
      <c r="L559" s="14">
        <f t="shared" si="183"/>
        <v>0</v>
      </c>
      <c r="M559" s="14"/>
      <c r="N559" s="14"/>
      <c r="O559" s="14"/>
      <c r="P559" s="57">
        <f t="shared" si="168"/>
        <v>0</v>
      </c>
      <c r="Q559" s="18">
        <f t="shared" si="160"/>
        <v>0</v>
      </c>
      <c r="S559" s="17"/>
      <c r="T559" s="17"/>
      <c r="U559" s="17"/>
      <c r="V559" s="17"/>
      <c r="W559" s="17"/>
      <c r="X559" s="17"/>
      <c r="Y559" s="17"/>
    </row>
    <row r="560" spans="1:25" s="16" customFormat="1" ht="31.5" customHeight="1" hidden="1">
      <c r="A560" s="124"/>
      <c r="B560" s="128"/>
      <c r="C560" s="55" t="s">
        <v>143</v>
      </c>
      <c r="D560" s="55" t="s">
        <v>359</v>
      </c>
      <c r="E560" s="11" t="s">
        <v>38</v>
      </c>
      <c r="F560" s="56">
        <f t="shared" si="166"/>
        <v>322.29999999999995</v>
      </c>
      <c r="G560" s="93">
        <v>64.3</v>
      </c>
      <c r="H560" s="93">
        <v>63.9</v>
      </c>
      <c r="I560" s="93">
        <v>64.7</v>
      </c>
      <c r="J560" s="93">
        <v>64.7</v>
      </c>
      <c r="K560" s="93">
        <v>64.7</v>
      </c>
      <c r="L560" s="93"/>
      <c r="M560" s="93"/>
      <c r="N560" s="93"/>
      <c r="O560" s="93"/>
      <c r="P560" s="57">
        <f t="shared" si="168"/>
        <v>0</v>
      </c>
      <c r="Q560" s="18">
        <f t="shared" si="160"/>
        <v>0</v>
      </c>
      <c r="S560" s="17"/>
      <c r="T560" s="17"/>
      <c r="U560" s="17"/>
      <c r="V560" s="17"/>
      <c r="W560" s="17"/>
      <c r="X560" s="17"/>
      <c r="Y560" s="17"/>
    </row>
    <row r="561" spans="1:25" s="16" customFormat="1" ht="117" customHeight="1">
      <c r="A561" s="72" t="s">
        <v>277</v>
      </c>
      <c r="B561" s="111" t="s">
        <v>609</v>
      </c>
      <c r="C561" s="55" t="s">
        <v>143</v>
      </c>
      <c r="D561" s="55" t="s">
        <v>188</v>
      </c>
      <c r="E561" s="11" t="s">
        <v>38</v>
      </c>
      <c r="F561" s="56">
        <f t="shared" si="166"/>
        <v>208.6</v>
      </c>
      <c r="G561" s="93">
        <v>208.6</v>
      </c>
      <c r="H561" s="93">
        <v>0</v>
      </c>
      <c r="I561" s="93">
        <v>0</v>
      </c>
      <c r="J561" s="93">
        <v>0</v>
      </c>
      <c r="K561" s="93">
        <v>0</v>
      </c>
      <c r="L561" s="93">
        <v>0</v>
      </c>
      <c r="M561" s="93">
        <v>0</v>
      </c>
      <c r="N561" s="93">
        <v>0</v>
      </c>
      <c r="O561" s="93">
        <v>0</v>
      </c>
      <c r="P561" s="57">
        <f t="shared" si="168"/>
        <v>0</v>
      </c>
      <c r="Q561" s="18">
        <f t="shared" si="160"/>
        <v>0</v>
      </c>
      <c r="S561" s="17"/>
      <c r="T561" s="17"/>
      <c r="U561" s="17"/>
      <c r="V561" s="17"/>
      <c r="W561" s="17"/>
      <c r="X561" s="17"/>
      <c r="Y561" s="17"/>
    </row>
    <row r="562" spans="1:25" s="15" customFormat="1" ht="57" customHeight="1">
      <c r="A562" s="94" t="s">
        <v>531</v>
      </c>
      <c r="B562" s="112" t="s">
        <v>536</v>
      </c>
      <c r="C562" s="49" t="s">
        <v>538</v>
      </c>
      <c r="D562" s="49" t="s">
        <v>534</v>
      </c>
      <c r="E562" s="11" t="s">
        <v>535</v>
      </c>
      <c r="F562" s="56">
        <f>G562+H562+I562+J562+K562+L562+M562+N562+O562</f>
        <v>2674.9</v>
      </c>
      <c r="G562" s="93">
        <f>G563</f>
        <v>0</v>
      </c>
      <c r="H562" s="93">
        <f aca="true" t="shared" si="184" ref="H562:O562">H563</f>
        <v>0</v>
      </c>
      <c r="I562" s="93">
        <f t="shared" si="184"/>
        <v>0</v>
      </c>
      <c r="J562" s="93">
        <f t="shared" si="184"/>
        <v>0</v>
      </c>
      <c r="K562" s="93">
        <f t="shared" si="184"/>
        <v>2674.9</v>
      </c>
      <c r="L562" s="93">
        <f t="shared" si="184"/>
        <v>0</v>
      </c>
      <c r="M562" s="93">
        <f t="shared" si="184"/>
        <v>0</v>
      </c>
      <c r="N562" s="93">
        <f t="shared" si="184"/>
        <v>0</v>
      </c>
      <c r="O562" s="93">
        <f t="shared" si="184"/>
        <v>0</v>
      </c>
      <c r="Q562" s="18">
        <f t="shared" si="160"/>
        <v>0</v>
      </c>
      <c r="R562" s="16"/>
      <c r="S562" s="17"/>
      <c r="T562" s="17"/>
      <c r="U562" s="17"/>
      <c r="V562" s="17"/>
      <c r="W562" s="17"/>
      <c r="X562" s="17"/>
      <c r="Y562" s="17"/>
    </row>
    <row r="563" spans="1:25" s="15" customFormat="1" ht="97.5" customHeight="1">
      <c r="A563" s="94" t="s">
        <v>532</v>
      </c>
      <c r="B563" s="112" t="s">
        <v>596</v>
      </c>
      <c r="C563" s="49" t="s">
        <v>538</v>
      </c>
      <c r="D563" s="49" t="s">
        <v>533</v>
      </c>
      <c r="E563" s="11" t="s">
        <v>18</v>
      </c>
      <c r="F563" s="56">
        <f>G563+H563+I563+J563+K563+L563+M563+N563+O563</f>
        <v>2674.9</v>
      </c>
      <c r="G563" s="93">
        <v>0</v>
      </c>
      <c r="H563" s="93">
        <v>0</v>
      </c>
      <c r="I563" s="93">
        <v>0</v>
      </c>
      <c r="J563" s="93">
        <v>0</v>
      </c>
      <c r="K563" s="93">
        <v>2674.9</v>
      </c>
      <c r="L563" s="93">
        <v>0</v>
      </c>
      <c r="M563" s="93">
        <v>0</v>
      </c>
      <c r="N563" s="93">
        <v>0</v>
      </c>
      <c r="O563" s="93">
        <v>0</v>
      </c>
      <c r="Q563" s="18">
        <f t="shared" si="160"/>
        <v>0</v>
      </c>
      <c r="R563" s="16"/>
      <c r="S563" s="17"/>
      <c r="T563" s="17"/>
      <c r="U563" s="17"/>
      <c r="V563" s="17"/>
      <c r="W563" s="17"/>
      <c r="X563" s="17"/>
      <c r="Y563" s="17"/>
    </row>
    <row r="564" ht="60" customHeight="1">
      <c r="A564" s="122" t="s">
        <v>628</v>
      </c>
    </row>
  </sheetData>
  <sheetProtection/>
  <mergeCells count="212">
    <mergeCell ref="A336:A337"/>
    <mergeCell ref="B331:B332"/>
    <mergeCell ref="A331:A332"/>
    <mergeCell ref="M1:O1"/>
    <mergeCell ref="A2:O2"/>
    <mergeCell ref="G3:O3"/>
    <mergeCell ref="A328:A329"/>
    <mergeCell ref="B328:B329"/>
    <mergeCell ref="A283:A285"/>
    <mergeCell ref="A281:A282"/>
    <mergeCell ref="A530:A531"/>
    <mergeCell ref="B530:B531"/>
    <mergeCell ref="A528:A529"/>
    <mergeCell ref="B528:B529"/>
    <mergeCell ref="A526:A527"/>
    <mergeCell ref="B537:B538"/>
    <mergeCell ref="A537:A538"/>
    <mergeCell ref="A552:A555"/>
    <mergeCell ref="B552:B555"/>
    <mergeCell ref="A556:A558"/>
    <mergeCell ref="B556:B558"/>
    <mergeCell ref="B484:B485"/>
    <mergeCell ref="A559:A560"/>
    <mergeCell ref="B559:B560"/>
    <mergeCell ref="A532:A535"/>
    <mergeCell ref="B532:B535"/>
    <mergeCell ref="B541:B542"/>
    <mergeCell ref="A543:A544"/>
    <mergeCell ref="B543:B544"/>
    <mergeCell ref="B526:B527"/>
    <mergeCell ref="A476:A477"/>
    <mergeCell ref="B476:B477"/>
    <mergeCell ref="B494:B502"/>
    <mergeCell ref="A488:A493"/>
    <mergeCell ref="B488:B493"/>
    <mergeCell ref="A494:A502"/>
    <mergeCell ref="A478:A482"/>
    <mergeCell ref="A464:A466"/>
    <mergeCell ref="B464:B466"/>
    <mergeCell ref="B469:B471"/>
    <mergeCell ref="A467:A468"/>
    <mergeCell ref="B467:B468"/>
    <mergeCell ref="A469:A471"/>
    <mergeCell ref="A415:A416"/>
    <mergeCell ref="B415:B416"/>
    <mergeCell ref="A439:A440"/>
    <mergeCell ref="B439:B440"/>
    <mergeCell ref="B455:B456"/>
    <mergeCell ref="A458:A459"/>
    <mergeCell ref="B458:B459"/>
    <mergeCell ref="A455:A456"/>
    <mergeCell ref="B403:B405"/>
    <mergeCell ref="A392:A394"/>
    <mergeCell ref="B392:B394"/>
    <mergeCell ref="C392:C394"/>
    <mergeCell ref="D392:D394"/>
    <mergeCell ref="A412:A413"/>
    <mergeCell ref="B412:B413"/>
    <mergeCell ref="B478:B482"/>
    <mergeCell ref="C478:C482"/>
    <mergeCell ref="D478:D482"/>
    <mergeCell ref="A395:A402"/>
    <mergeCell ref="B395:B402"/>
    <mergeCell ref="A385:A387"/>
    <mergeCell ref="B385:B387"/>
    <mergeCell ref="C385:C387"/>
    <mergeCell ref="D385:D387"/>
    <mergeCell ref="A403:A405"/>
    <mergeCell ref="C373:C376"/>
    <mergeCell ref="D373:D376"/>
    <mergeCell ref="A377:A381"/>
    <mergeCell ref="B377:B381"/>
    <mergeCell ref="C377:C381"/>
    <mergeCell ref="D377:D381"/>
    <mergeCell ref="A363:A364"/>
    <mergeCell ref="B363:B364"/>
    <mergeCell ref="A368:A369"/>
    <mergeCell ref="B368:B369"/>
    <mergeCell ref="A373:A376"/>
    <mergeCell ref="B373:B376"/>
    <mergeCell ref="A370:A371"/>
    <mergeCell ref="B370:B371"/>
    <mergeCell ref="A356:A358"/>
    <mergeCell ref="B356:B358"/>
    <mergeCell ref="A359:A360"/>
    <mergeCell ref="B359:B360"/>
    <mergeCell ref="A361:A362"/>
    <mergeCell ref="B361:B362"/>
    <mergeCell ref="A352:A353"/>
    <mergeCell ref="B352:B353"/>
    <mergeCell ref="B354:B355"/>
    <mergeCell ref="B347:B351"/>
    <mergeCell ref="A341:A342"/>
    <mergeCell ref="B341:B342"/>
    <mergeCell ref="A343:A344"/>
    <mergeCell ref="B343:B344"/>
    <mergeCell ref="A345:A346"/>
    <mergeCell ref="B345:B346"/>
    <mergeCell ref="B336:B337"/>
    <mergeCell ref="B263:B264"/>
    <mergeCell ref="B283:B285"/>
    <mergeCell ref="A309:A310"/>
    <mergeCell ref="B309:B310"/>
    <mergeCell ref="A313:A326"/>
    <mergeCell ref="B313:B326"/>
    <mergeCell ref="A266:A267"/>
    <mergeCell ref="B266:B267"/>
    <mergeCell ref="A268:A269"/>
    <mergeCell ref="A256:A257"/>
    <mergeCell ref="B256:B257"/>
    <mergeCell ref="B281:B282"/>
    <mergeCell ref="A258:A259"/>
    <mergeCell ref="B258:B259"/>
    <mergeCell ref="A260:A261"/>
    <mergeCell ref="B260:B261"/>
    <mergeCell ref="A263:A264"/>
    <mergeCell ref="A270:A272"/>
    <mergeCell ref="B270:B272"/>
    <mergeCell ref="C231:C232"/>
    <mergeCell ref="D231:D232"/>
    <mergeCell ref="A209:A210"/>
    <mergeCell ref="B209:B210"/>
    <mergeCell ref="A217:A218"/>
    <mergeCell ref="B217:B218"/>
    <mergeCell ref="A219:A220"/>
    <mergeCell ref="B219:B220"/>
    <mergeCell ref="A205:A206"/>
    <mergeCell ref="B205:B206"/>
    <mergeCell ref="A207:A208"/>
    <mergeCell ref="B207:B208"/>
    <mergeCell ref="D224:D226"/>
    <mergeCell ref="B227:B228"/>
    <mergeCell ref="A221:A222"/>
    <mergeCell ref="B221:B222"/>
    <mergeCell ref="A201:A202"/>
    <mergeCell ref="B201:B202"/>
    <mergeCell ref="C201:C202"/>
    <mergeCell ref="D201:D202"/>
    <mergeCell ref="A203:A204"/>
    <mergeCell ref="B203:B204"/>
    <mergeCell ref="A159:A160"/>
    <mergeCell ref="B159:B160"/>
    <mergeCell ref="A67:A68"/>
    <mergeCell ref="B67:B68"/>
    <mergeCell ref="A168:A169"/>
    <mergeCell ref="A199:A200"/>
    <mergeCell ref="B199:B200"/>
    <mergeCell ref="D45:D47"/>
    <mergeCell ref="B4:B5"/>
    <mergeCell ref="C61:C62"/>
    <mergeCell ref="A82:A83"/>
    <mergeCell ref="B82:B83"/>
    <mergeCell ref="B78:B79"/>
    <mergeCell ref="A61:A62"/>
    <mergeCell ref="D4:D5"/>
    <mergeCell ref="D61:D62"/>
    <mergeCell ref="A63:A66"/>
    <mergeCell ref="B63:B66"/>
    <mergeCell ref="D38:D40"/>
    <mergeCell ref="A45:A47"/>
    <mergeCell ref="B45:B47"/>
    <mergeCell ref="C45:C47"/>
    <mergeCell ref="B38:B40"/>
    <mergeCell ref="B61:B62"/>
    <mergeCell ref="C38:C40"/>
    <mergeCell ref="A38:A40"/>
    <mergeCell ref="A388:A391"/>
    <mergeCell ref="B388:B391"/>
    <mergeCell ref="C388:C391"/>
    <mergeCell ref="B223:B226"/>
    <mergeCell ref="C224:C226"/>
    <mergeCell ref="C72:C73"/>
    <mergeCell ref="A78:A79"/>
    <mergeCell ref="A244:A245"/>
    <mergeCell ref="B244:B245"/>
    <mergeCell ref="A250:A251"/>
    <mergeCell ref="D388:D391"/>
    <mergeCell ref="B215:B216"/>
    <mergeCell ref="C4:C5"/>
    <mergeCell ref="A211:A212"/>
    <mergeCell ref="B211:B212"/>
    <mergeCell ref="A213:A214"/>
    <mergeCell ref="A22:A30"/>
    <mergeCell ref="B213:B214"/>
    <mergeCell ref="A215:A216"/>
    <mergeCell ref="A223:A226"/>
    <mergeCell ref="G4:O4"/>
    <mergeCell ref="E4:E5"/>
    <mergeCell ref="F4:F5"/>
    <mergeCell ref="B22:B30"/>
    <mergeCell ref="A4:A5"/>
    <mergeCell ref="A31:A35"/>
    <mergeCell ref="B31:B35"/>
    <mergeCell ref="B250:B251"/>
    <mergeCell ref="A252:A253"/>
    <mergeCell ref="A273:A275"/>
    <mergeCell ref="B273:B276"/>
    <mergeCell ref="A278:A280"/>
    <mergeCell ref="B278:B280"/>
    <mergeCell ref="B252:B253"/>
    <mergeCell ref="A254:A255"/>
    <mergeCell ref="B254:B255"/>
    <mergeCell ref="B268:B269"/>
    <mergeCell ref="A246:A247"/>
    <mergeCell ref="B246:B247"/>
    <mergeCell ref="A248:A249"/>
    <mergeCell ref="B248:B249"/>
    <mergeCell ref="A233:A234"/>
    <mergeCell ref="B233:B234"/>
    <mergeCell ref="A237:A243"/>
    <mergeCell ref="B237:B243"/>
  </mergeCells>
  <printOptions horizontalCentered="1"/>
  <pageMargins left="0.3937007874015748" right="0.07874015748031496" top="0.3937007874015748" bottom="0.4724409448818898" header="0.5118110236220472" footer="0.5118110236220472"/>
  <pageSetup fitToHeight="20" fitToWidth="18" horizontalDpi="600" verticalDpi="600" orientation="landscape" paperSize="9" scale="55" r:id="rId1"/>
  <rowBreaks count="20" manualBreakCount="20">
    <brk id="16" max="14" man="1"/>
    <brk id="35" max="14" man="1"/>
    <brk id="44" max="14" man="1"/>
    <brk id="52" max="14" man="1"/>
    <brk id="60" max="14" man="1"/>
    <brk id="77" max="14" man="1"/>
    <brk id="214" max="14" man="1"/>
    <brk id="226" max="14" man="1"/>
    <brk id="243" max="14" man="1"/>
    <brk id="257" max="14" man="1"/>
    <brk id="272" max="14" man="1"/>
    <brk id="342" max="14" man="1"/>
    <brk id="376" max="14" man="1"/>
    <brk id="387" max="14" man="1"/>
    <brk id="405" max="14" man="1"/>
    <brk id="411" max="14" man="1"/>
    <brk id="466" max="14" man="1"/>
    <brk id="487" max="14" man="1"/>
    <brk id="525" max="14" man="1"/>
    <brk id="5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2024-02-27T09:11:45Z</dcterms:modified>
  <cp:category/>
  <cp:version/>
  <cp:contentType/>
  <cp:contentStatus/>
</cp:coreProperties>
</file>